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51"/>
  </bookViews>
  <sheets>
    <sheet name="Summary" sheetId="1" r:id="rId1"/>
    <sheet name="RMTC_2" sheetId="7" r:id="rId2"/>
    <sheet name="Elpaso_6" sheetId="9" r:id="rId3"/>
    <sheet name="ENA_9" sheetId="11" r:id="rId4"/>
    <sheet name="ENA_10" sheetId="12" r:id="rId5"/>
    <sheet name="ENA_11" sheetId="13" r:id="rId6"/>
    <sheet name="ENA_12" sheetId="14" r:id="rId7"/>
    <sheet name="ENA_13" sheetId="15" r:id="rId8"/>
    <sheet name="Sempra_1_Expired" sheetId="3" r:id="rId9"/>
    <sheet name="MEC_8_Expired" sheetId="10" r:id="rId10"/>
    <sheet name="Avista_1_Expired" sheetId="2" r:id="rId11"/>
    <sheet name="Avista_2_Expired" sheetId="4" r:id="rId12"/>
    <sheet name="Sempra_2_Expired" sheetId="5" r:id="rId13"/>
    <sheet name="Sempra_2.1_Expired" sheetId="6" r:id="rId14"/>
  </sheets>
  <externalReferences>
    <externalReference r:id="rId15"/>
  </externalReferences>
  <definedNames>
    <definedName name="_xlnm.Print_Area" localSheetId="10">Avista_1_Expired!$A$1:$K$41</definedName>
    <definedName name="_xlnm.Print_Area" localSheetId="11">Avista_2_Expired!$A$1:$K$46</definedName>
    <definedName name="_xlnm.Print_Area" localSheetId="8">Sempra_1_Expired!$A$1:$K$44</definedName>
    <definedName name="_xlnm.Print_Area" localSheetId="0">Summary!$A$1:$Q$98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H9" i="12"/>
  <c r="I9" i="12"/>
  <c r="K9" i="12"/>
  <c r="F10" i="12"/>
  <c r="H10" i="12"/>
  <c r="I10" i="12"/>
  <c r="K10" i="12"/>
  <c r="F11" i="12"/>
  <c r="H11" i="12"/>
  <c r="I11" i="12"/>
  <c r="K11" i="12"/>
  <c r="F12" i="12"/>
  <c r="H12" i="12"/>
  <c r="I12" i="12"/>
  <c r="K12" i="12"/>
  <c r="F13" i="12"/>
  <c r="H13" i="12"/>
  <c r="I13" i="12"/>
  <c r="K13" i="12"/>
  <c r="F14" i="12"/>
  <c r="H14" i="12"/>
  <c r="I14" i="12"/>
  <c r="K14" i="12"/>
  <c r="F15" i="12"/>
  <c r="H15" i="12"/>
  <c r="I15" i="12"/>
  <c r="K15" i="12"/>
  <c r="F16" i="12"/>
  <c r="H16" i="12"/>
  <c r="I16" i="12"/>
  <c r="K16" i="12"/>
  <c r="F17" i="12"/>
  <c r="H17" i="12"/>
  <c r="I17" i="12"/>
  <c r="K17" i="12"/>
  <c r="F18" i="12"/>
  <c r="H18" i="12"/>
  <c r="I18" i="12"/>
  <c r="K18" i="12"/>
  <c r="F19" i="12"/>
  <c r="H19" i="12"/>
  <c r="I19" i="12"/>
  <c r="K19" i="12"/>
  <c r="F20" i="12"/>
  <c r="H20" i="12"/>
  <c r="I20" i="12"/>
  <c r="K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K16" i="7"/>
  <c r="F17" i="7"/>
  <c r="H17" i="7"/>
  <c r="I17" i="7"/>
  <c r="K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K33" i="7"/>
  <c r="F34" i="7"/>
  <c r="H34" i="7"/>
  <c r="I34" i="7"/>
  <c r="K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8" i="1"/>
  <c r="M48" i="1"/>
  <c r="N48" i="1"/>
  <c r="O48" i="1"/>
  <c r="P48" i="1"/>
  <c r="Q48" i="1"/>
  <c r="K49" i="1"/>
  <c r="M49" i="1"/>
  <c r="N49" i="1"/>
  <c r="P49" i="1"/>
  <c r="L50" i="1"/>
  <c r="M50" i="1"/>
  <c r="N50" i="1"/>
  <c r="O50" i="1"/>
  <c r="P50" i="1"/>
  <c r="Q50" i="1"/>
  <c r="K53" i="1"/>
  <c r="M53" i="1"/>
  <c r="N53" i="1"/>
  <c r="O53" i="1"/>
  <c r="P53" i="1"/>
  <c r="Q53" i="1"/>
  <c r="K54" i="1"/>
  <c r="L54" i="1"/>
  <c r="M54" i="1"/>
  <c r="N54" i="1"/>
  <c r="O54" i="1"/>
  <c r="P54" i="1"/>
  <c r="Q54" i="1"/>
  <c r="L55" i="1"/>
  <c r="M55" i="1"/>
  <c r="N55" i="1"/>
  <c r="O55" i="1"/>
  <c r="P55" i="1"/>
  <c r="Q55" i="1"/>
  <c r="K57" i="1"/>
  <c r="M57" i="1"/>
  <c r="N57" i="1"/>
  <c r="O57" i="1"/>
  <c r="P57" i="1"/>
  <c r="Q57" i="1"/>
  <c r="K58" i="1"/>
  <c r="L58" i="1"/>
  <c r="M58" i="1"/>
  <c r="N58" i="1"/>
  <c r="O58" i="1"/>
  <c r="P58" i="1"/>
  <c r="Q58" i="1"/>
  <c r="L59" i="1"/>
  <c r="M59" i="1"/>
  <c r="N59" i="1"/>
  <c r="O59" i="1"/>
  <c r="P59" i="1"/>
  <c r="Q59" i="1"/>
  <c r="K61" i="1"/>
  <c r="M61" i="1"/>
  <c r="N61" i="1"/>
  <c r="O61" i="1"/>
  <c r="P61" i="1"/>
  <c r="Q61" i="1"/>
  <c r="K62" i="1"/>
  <c r="L62" i="1"/>
  <c r="M62" i="1"/>
  <c r="N62" i="1"/>
  <c r="O62" i="1"/>
  <c r="P62" i="1"/>
  <c r="Q62" i="1"/>
  <c r="L63" i="1"/>
  <c r="M63" i="1"/>
  <c r="N63" i="1"/>
  <c r="O63" i="1"/>
  <c r="P63" i="1"/>
  <c r="Q63" i="1"/>
  <c r="M65" i="1"/>
  <c r="N65" i="1"/>
  <c r="O65" i="1"/>
  <c r="P65" i="1"/>
  <c r="Q65" i="1"/>
  <c r="M79" i="1"/>
  <c r="O79" i="1"/>
  <c r="Q79" i="1"/>
  <c r="K80" i="1"/>
  <c r="L80" i="1"/>
  <c r="N80" i="1"/>
  <c r="O80" i="1"/>
  <c r="Q80" i="1"/>
  <c r="K81" i="1"/>
  <c r="L81" i="1"/>
  <c r="N81" i="1"/>
  <c r="O81" i="1"/>
  <c r="Q81" i="1"/>
  <c r="M82" i="1"/>
  <c r="N82" i="1"/>
  <c r="O82" i="1"/>
  <c r="Q82" i="1"/>
  <c r="N85" i="1"/>
  <c r="N87" i="1"/>
  <c r="N89" i="1"/>
  <c r="N91" i="1"/>
  <c r="M93" i="1"/>
  <c r="N93" i="1"/>
  <c r="O93" i="1"/>
  <c r="P93" i="1"/>
  <c r="Q93" i="1"/>
</calcChain>
</file>

<file path=xl/sharedStrings.xml><?xml version="1.0" encoding="utf-8"?>
<sst xmlns="http://schemas.openxmlformats.org/spreadsheetml/2006/main" count="930" uniqueCount="124">
  <si>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</si>
  <si>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</si>
  <si>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</si>
  <si>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</si>
  <si>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</si>
  <si>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</si>
  <si>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</si>
  <si>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</si>
  <si>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</si>
  <si>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</si>
  <si>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</si>
  <si>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</si>
  <si>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</si>
  <si>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</si>
  <si>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</si>
  <si>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</si>
  <si>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</si>
  <si>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</si>
  <si>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</si>
  <si>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</si>
  <si>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</si>
  <si>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</si>
  <si>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</si>
  <si>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</si>
  <si>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</si>
  <si>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</si>
  <si>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</si>
  <si>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</si>
  <si>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</si>
  <si>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</si>
  <si>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</si>
  <si>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</si>
  <si>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</si>
  <si>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</si>
  <si>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</si>
  <si>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</si>
  <si>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</si>
  <si>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</si>
  <si>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</si>
  <si>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</si>
  <si>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</si>
  <si>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</si>
  <si>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</si>
  <si>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</si>
  <si>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</si>
  <si>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Short(-)</t>
  </si>
  <si>
    <t>Long(+)</t>
  </si>
  <si>
    <t>N</t>
  </si>
  <si>
    <t>Over-retention</t>
  </si>
  <si>
    <t>GPM</t>
  </si>
  <si>
    <t>Apache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</si>
  <si>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</si>
  <si>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</si>
  <si>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</si>
  <si>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</si>
  <si>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</si>
  <si>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</si>
  <si>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</si>
  <si>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</si>
  <si>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</si>
  <si>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</si>
  <si>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</si>
  <si>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</si>
  <si>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</si>
  <si>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</si>
  <si>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</si>
  <si>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</si>
  <si>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</si>
  <si>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</si>
  <si>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</si>
  <si>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</si>
  <si>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</si>
  <si>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</si>
  <si>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</si>
  <si>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</si>
  <si>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</si>
  <si>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</si>
  <si>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</si>
  <si>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</si>
  <si>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</si>
  <si>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</si>
  <si>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</si>
  <si>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</si>
  <si>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</si>
  <si>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</si>
  <si>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</si>
  <si>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</si>
  <si>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</si>
  <si>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</si>
  <si>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</si>
  <si>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</si>
  <si>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</si>
  <si>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</si>
  <si>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</si>
  <si>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</si>
  <si>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</si>
  <si>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</si>
  <si>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</si>
  <si>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</si>
  <si>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</si>
  <si>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</si>
  <si>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</si>
  <si>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</si>
  <si>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</si>
  <si>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</si>
  <si>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</si>
  <si>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</si>
  <si>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</si>
  <si>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</si>
  <si>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</si>
  <si>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</si>
  <si>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</si>
  <si>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</si>
  <si>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2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</si>
  <si>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</si>
  <si>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</si>
  <si>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</si>
  <si>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</si>
  <si>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</si>
  <si>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</si>
  <si>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Note 1:  Net income effect upon adoption of FAS 133, except for option premium.</t>
  </si>
  <si>
    <t>Enron North America_13</t>
  </si>
  <si>
    <t>AS OF August 24, 2000</t>
  </si>
  <si>
    <t>Note 2:  The ENA Put Option is currently out-of-the money by  $1,247,845.83.   The premium will be expensed in 08/31/00.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</si>
</sst>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4" fontId="9" fillId="0" borderId="12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44" fontId="9" fillId="0" borderId="11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lpaso"/>
      <sheetName val="MEC-EXPIRED"/>
    </sheetNames>
    <sheetDataSet>
      <sheetData sheetId="0">
        <row r="9">
          <cell r="R9">
            <v>4.1216666666666661</v>
          </cell>
        </row>
        <row r="10">
          <cell r="R10">
            <v>4.2779999999999996</v>
          </cell>
        </row>
        <row r="11">
          <cell r="R11">
            <v>4.3903333333333334</v>
          </cell>
        </row>
        <row r="12">
          <cell r="R12">
            <v>4.480833333333333</v>
          </cell>
        </row>
        <row r="13">
          <cell r="R13">
            <v>4.4308333333333332</v>
          </cell>
        </row>
        <row r="14">
          <cell r="R14">
            <v>4.1611666666666665</v>
          </cell>
        </row>
        <row r="15">
          <cell r="R15">
            <v>3.8706666666666671</v>
          </cell>
        </row>
        <row r="16">
          <cell r="R16">
            <v>3.6248333333333331</v>
          </cell>
        </row>
        <row r="17">
          <cell r="R17">
            <v>3.5198333333333331</v>
          </cell>
        </row>
        <row r="18">
          <cell r="R18">
            <v>3.4948333333333337</v>
          </cell>
        </row>
        <row r="19">
          <cell r="R19">
            <v>3.4798333333333331</v>
          </cell>
        </row>
        <row r="20">
          <cell r="R20">
            <v>3.484833333333333</v>
          </cell>
        </row>
        <row r="21">
          <cell r="R21">
            <v>3.464833333333333</v>
          </cell>
        </row>
        <row r="22">
          <cell r="R22">
            <v>3.4498333333333329</v>
          </cell>
        </row>
        <row r="23">
          <cell r="R23">
            <v>3.5806666666666662</v>
          </cell>
        </row>
        <row r="24">
          <cell r="R24">
            <v>3.670666666666667</v>
          </cell>
        </row>
        <row r="35">
          <cell r="F35">
            <v>4.4000000000000004</v>
          </cell>
        </row>
        <row r="36">
          <cell r="F36">
            <v>4.4130000000000003</v>
          </cell>
        </row>
        <row r="37">
          <cell r="F37">
            <v>4.4445000000000006</v>
          </cell>
        </row>
        <row r="38">
          <cell r="F38">
            <v>4.5225</v>
          </cell>
        </row>
        <row r="39">
          <cell r="F39">
            <v>4.4649999999999999</v>
          </cell>
        </row>
        <row r="40">
          <cell r="F40">
            <v>4.1970000000000001</v>
          </cell>
        </row>
        <row r="41">
          <cell r="F41">
            <v>3.9290000000000003</v>
          </cell>
        </row>
        <row r="42">
          <cell r="F42">
            <v>3.7039999999999997</v>
          </cell>
        </row>
        <row r="43">
          <cell r="F43">
            <v>3.5990000000000002</v>
          </cell>
        </row>
        <row r="44">
          <cell r="F44">
            <v>3.5739999999999998</v>
          </cell>
        </row>
        <row r="45">
          <cell r="F45">
            <v>3.5590000000000002</v>
          </cell>
        </row>
        <row r="46">
          <cell r="F46">
            <v>3.5640000000000001</v>
          </cell>
        </row>
        <row r="47">
          <cell r="F47">
            <v>3.5439999999999996</v>
          </cell>
        </row>
        <row r="48">
          <cell r="F48">
            <v>3.5289999999999999</v>
          </cell>
        </row>
        <row r="49">
          <cell r="F49">
            <v>3.6139999999999999</v>
          </cell>
        </row>
        <row r="50">
          <cell r="F50">
            <v>3.7040000000000002</v>
          </cell>
        </row>
      </sheetData>
      <sheetData sheetId="1">
        <row r="9">
          <cell r="F9">
            <v>3.1589999999999998</v>
          </cell>
        </row>
        <row r="10">
          <cell r="F10">
            <v>3.1469999999999998</v>
          </cell>
        </row>
        <row r="11">
          <cell r="F11">
            <v>3.1519999999999997</v>
          </cell>
        </row>
        <row r="12">
          <cell r="F12">
            <v>3.1549999999999998</v>
          </cell>
        </row>
        <row r="13">
          <cell r="F13">
            <v>3.1849999999999996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tabSelected="1" workbookViewId="0"/>
  </sheetViews>
  <sheetFormatPr defaultColWidth="9.5546875" defaultRowHeight="10.199999999999999" x14ac:dyDescent="0.2"/>
  <cols>
    <col min="1" max="1" width="8" style="70" customWidth="1"/>
    <col min="2" max="2" width="9" style="70" bestFit="1" customWidth="1"/>
    <col min="3" max="3" width="11.5546875" style="70" bestFit="1" customWidth="1"/>
    <col min="4" max="5" width="8.44140625" style="70" bestFit="1" customWidth="1"/>
    <col min="6" max="6" width="7.44140625" style="70" bestFit="1" customWidth="1"/>
    <col min="7" max="7" width="9.44140625" style="70" bestFit="1" customWidth="1"/>
    <col min="8" max="8" width="9.6640625" style="70" bestFit="1" customWidth="1"/>
    <col min="9" max="9" width="9.44140625" style="70" bestFit="1" customWidth="1"/>
    <col min="10" max="10" width="8.44140625" style="70" bestFit="1" customWidth="1"/>
    <col min="11" max="11" width="8.5546875" style="70" bestFit="1" customWidth="1"/>
    <col min="12" max="12" width="9.5546875" style="70" customWidth="1"/>
    <col min="13" max="13" width="12.5546875" style="70" bestFit="1" customWidth="1"/>
    <col min="14" max="14" width="9.5546875" style="70" customWidth="1"/>
    <col min="15" max="15" width="14" style="70" bestFit="1" customWidth="1"/>
    <col min="16" max="16" width="12.5546875" style="70" bestFit="1" customWidth="1"/>
    <col min="17" max="17" width="13.44140625" style="70" bestFit="1" customWidth="1"/>
    <col min="18" max="16384" width="9.5546875" style="70"/>
  </cols>
  <sheetData>
    <row r="1" spans="1:17" s="69" customForma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s="69" customFormat="1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s="69" customFormat="1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5" spans="1:17" x14ac:dyDescent="0.2">
      <c r="A5" s="68" t="s">
        <v>122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x14ac:dyDescent="0.2">
      <c r="A6" s="70" t="s">
        <v>108</v>
      </c>
      <c r="L6" s="71"/>
    </row>
    <row r="7" spans="1:17" s="77" customFormat="1" x14ac:dyDescent="0.2">
      <c r="A7" s="72" t="s">
        <v>3</v>
      </c>
      <c r="B7" s="73" t="s">
        <v>4</v>
      </c>
      <c r="C7" s="73" t="s">
        <v>5</v>
      </c>
      <c r="D7" s="73" t="s">
        <v>5</v>
      </c>
      <c r="E7" s="73" t="s">
        <v>5</v>
      </c>
      <c r="F7" s="73" t="s">
        <v>6</v>
      </c>
      <c r="G7" s="73" t="s">
        <v>7</v>
      </c>
      <c r="H7" s="73" t="s">
        <v>8</v>
      </c>
      <c r="I7" s="73" t="s">
        <v>9</v>
      </c>
      <c r="J7" s="73" t="s">
        <v>5</v>
      </c>
      <c r="K7" s="73" t="s">
        <v>10</v>
      </c>
      <c r="L7" s="73" t="s">
        <v>11</v>
      </c>
      <c r="M7" s="73" t="s">
        <v>5</v>
      </c>
      <c r="N7" s="73" t="s">
        <v>12</v>
      </c>
      <c r="O7" s="74"/>
      <c r="P7" s="75"/>
      <c r="Q7" s="76"/>
    </row>
    <row r="8" spans="1:17" s="77" customFormat="1" x14ac:dyDescent="0.2">
      <c r="A8" s="78" t="s">
        <v>13</v>
      </c>
      <c r="B8" s="79" t="s">
        <v>14</v>
      </c>
      <c r="C8" s="79" t="s">
        <v>14</v>
      </c>
      <c r="D8" s="79" t="s">
        <v>15</v>
      </c>
      <c r="E8" s="79" t="s">
        <v>16</v>
      </c>
      <c r="F8" s="79"/>
      <c r="G8" s="79" t="s">
        <v>17</v>
      </c>
      <c r="H8" s="79" t="s">
        <v>18</v>
      </c>
      <c r="I8" s="79" t="s">
        <v>18</v>
      </c>
      <c r="J8" s="79" t="s">
        <v>19</v>
      </c>
      <c r="K8" s="79" t="s">
        <v>20</v>
      </c>
      <c r="L8" s="79"/>
      <c r="M8" s="79" t="s">
        <v>21</v>
      </c>
      <c r="N8" s="79" t="s">
        <v>22</v>
      </c>
      <c r="O8" s="80" t="s">
        <v>23</v>
      </c>
      <c r="P8" s="81"/>
      <c r="Q8" s="82"/>
    </row>
    <row r="9" spans="1:17" s="77" customFormat="1" x14ac:dyDescent="0.2">
      <c r="A9" s="78"/>
      <c r="B9" s="79"/>
      <c r="C9" s="79"/>
      <c r="D9" s="79"/>
      <c r="E9" s="83"/>
      <c r="F9" s="79"/>
      <c r="G9" s="79" t="s">
        <v>24</v>
      </c>
      <c r="H9" s="79"/>
      <c r="I9" s="79"/>
      <c r="J9" s="79"/>
      <c r="K9" s="79" t="s">
        <v>25</v>
      </c>
      <c r="L9" s="79"/>
      <c r="M9" s="79" t="s">
        <v>26</v>
      </c>
      <c r="N9" s="79"/>
      <c r="O9" s="84" t="s">
        <v>27</v>
      </c>
      <c r="P9" s="84" t="s">
        <v>28</v>
      </c>
      <c r="Q9" s="85" t="s">
        <v>29</v>
      </c>
    </row>
    <row r="10" spans="1:17" s="77" customFormat="1" x14ac:dyDescent="0.2">
      <c r="A10" s="138"/>
      <c r="B10" s="86"/>
      <c r="C10" s="86"/>
      <c r="D10" s="86"/>
      <c r="E10" s="86"/>
      <c r="F10" s="86"/>
      <c r="G10" s="86"/>
      <c r="H10" s="86"/>
      <c r="I10" s="86"/>
      <c r="J10" s="86"/>
      <c r="K10" s="86" t="s">
        <v>30</v>
      </c>
      <c r="L10" s="86"/>
      <c r="M10" s="86" t="s">
        <v>31</v>
      </c>
      <c r="N10" s="86"/>
      <c r="O10" s="87" t="s">
        <v>118</v>
      </c>
      <c r="P10" s="87" t="s">
        <v>118</v>
      </c>
      <c r="Q10" s="88" t="s">
        <v>118</v>
      </c>
    </row>
    <row r="11" spans="1:17" hidden="1" x14ac:dyDescent="0.2">
      <c r="A11" s="89">
        <v>1</v>
      </c>
      <c r="B11" s="89" t="s">
        <v>33</v>
      </c>
      <c r="C11" s="89" t="s">
        <v>34</v>
      </c>
      <c r="D11" s="90"/>
      <c r="E11" s="89" t="s">
        <v>35</v>
      </c>
      <c r="F11" s="90"/>
      <c r="G11" s="89" t="s">
        <v>36</v>
      </c>
      <c r="H11" s="91" t="s">
        <v>86</v>
      </c>
      <c r="I11" s="90"/>
      <c r="J11" s="92">
        <f>+Avista_1_Expired!D10</f>
        <v>2.2200000000000002</v>
      </c>
      <c r="K11" s="93">
        <f>(SUM(Avista_1_Expired!G10:G21)+SUM(Avista_1_Expired!H26:H37))/12</f>
        <v>1.7525000000000004</v>
      </c>
      <c r="L11" s="92">
        <f>-O11/M11</f>
        <v>-0.46602739726027415</v>
      </c>
      <c r="M11" s="94">
        <f>-Avista_1_Expired!F22</f>
        <v>-91250</v>
      </c>
      <c r="N11" s="94">
        <f>+M11/365</f>
        <v>-250</v>
      </c>
      <c r="O11" s="95">
        <f>-Avista_1_Expired!I22</f>
        <v>-42525.000000000015</v>
      </c>
      <c r="P11" s="96">
        <f>-Avista_1_Expired!J22</f>
        <v>-42525.000000000015</v>
      </c>
      <c r="Q11" s="96">
        <f>-Avista_1_Expired!K22</f>
        <v>0</v>
      </c>
    </row>
    <row r="12" spans="1:17" hidden="1" x14ac:dyDescent="0.2">
      <c r="A12" s="97">
        <v>1</v>
      </c>
      <c r="B12" s="97" t="s">
        <v>33</v>
      </c>
      <c r="C12" s="97" t="s">
        <v>36</v>
      </c>
      <c r="D12" s="97">
        <v>26125</v>
      </c>
      <c r="E12" s="97" t="s">
        <v>37</v>
      </c>
      <c r="F12" s="97" t="s">
        <v>38</v>
      </c>
      <c r="G12" s="97" t="s">
        <v>34</v>
      </c>
      <c r="H12" s="91" t="s">
        <v>86</v>
      </c>
      <c r="I12" s="98"/>
      <c r="J12" s="100">
        <f>+Avista_1_Expired!D26</f>
        <v>2.2200000000000002</v>
      </c>
      <c r="K12" s="101">
        <f>(SUM(Avista_1_Expired!G26:G37)+SUM(Avista_1_Expired!H26:H37))/12</f>
        <v>1.8191666666666668</v>
      </c>
      <c r="L12" s="102">
        <f>+O12/M12</f>
        <v>0.36873972602739735</v>
      </c>
      <c r="M12" s="103">
        <f>-Avista_1_Expired!F38</f>
        <v>91250</v>
      </c>
      <c r="N12" s="104">
        <f>+M12/365</f>
        <v>250</v>
      </c>
      <c r="O12" s="105">
        <f>-Avista_1_Expired!I38</f>
        <v>33647.500000000007</v>
      </c>
      <c r="P12" s="96">
        <f>-Avista_1_Expired!J38</f>
        <v>33647.500000000007</v>
      </c>
      <c r="Q12" s="96">
        <f>-Avista_1_Expired!K38</f>
        <v>0</v>
      </c>
    </row>
    <row r="13" spans="1:17" hidden="1" x14ac:dyDescent="0.2">
      <c r="A13" s="97"/>
      <c r="B13" s="97"/>
      <c r="C13" s="97"/>
      <c r="D13" s="97"/>
      <c r="E13" s="97"/>
      <c r="F13" s="97"/>
      <c r="G13" s="97"/>
      <c r="H13" s="98"/>
      <c r="I13" s="98"/>
      <c r="J13" s="100"/>
      <c r="K13" s="93"/>
      <c r="L13" s="100">
        <f>+L11+L12</f>
        <v>-9.7287671232876793E-2</v>
      </c>
      <c r="M13" s="106">
        <f>SUM(M11:M12)</f>
        <v>0</v>
      </c>
      <c r="N13" s="106">
        <f>SUM(N11:N12)</f>
        <v>0</v>
      </c>
      <c r="O13" s="107">
        <f>SUM(O11:O12)</f>
        <v>-8877.5000000000073</v>
      </c>
      <c r="P13" s="107">
        <f>SUM(P11:P12)</f>
        <v>-8877.5000000000073</v>
      </c>
      <c r="Q13" s="107">
        <f>SUM(Q11:Q12)</f>
        <v>0</v>
      </c>
    </row>
    <row r="14" spans="1:17" ht="9.9" hidden="1" customHeight="1" x14ac:dyDescent="0.2">
      <c r="A14" s="97"/>
      <c r="B14" s="97"/>
      <c r="C14" s="97"/>
      <c r="D14" s="97"/>
      <c r="E14" s="97"/>
      <c r="F14" s="97"/>
      <c r="G14" s="97"/>
      <c r="H14" s="98"/>
      <c r="I14" s="98"/>
      <c r="J14" s="100"/>
      <c r="K14" s="93"/>
      <c r="L14" s="100"/>
      <c r="M14" s="104"/>
      <c r="N14" s="104"/>
      <c r="O14" s="105"/>
      <c r="P14" s="96"/>
      <c r="Q14" s="96"/>
    </row>
    <row r="15" spans="1:17" hidden="1" x14ac:dyDescent="0.2">
      <c r="A15" s="97">
        <v>1</v>
      </c>
      <c r="B15" s="97" t="s">
        <v>33</v>
      </c>
      <c r="C15" s="97" t="s">
        <v>39</v>
      </c>
      <c r="D15" s="97"/>
      <c r="E15" s="97" t="s">
        <v>35</v>
      </c>
      <c r="F15" s="97"/>
      <c r="G15" s="97" t="s">
        <v>36</v>
      </c>
      <c r="H15" s="91" t="s">
        <v>94</v>
      </c>
      <c r="I15" s="98"/>
      <c r="J15" s="100">
        <f>+Sempra_1_Expired!D9</f>
        <v>1.9450000000000001</v>
      </c>
      <c r="K15" s="101">
        <f>(SUM(Sempra_1_Expired!G9:H20)/12)</f>
        <v>2.3858333333333333</v>
      </c>
      <c r="L15" s="100">
        <f>-O15/M15</f>
        <v>0.43923497267759554</v>
      </c>
      <c r="M15" s="103">
        <f>-Sempra_1_Expired!F21</f>
        <v>-91500</v>
      </c>
      <c r="N15" s="104">
        <f>+M15/366</f>
        <v>-250</v>
      </c>
      <c r="O15" s="105">
        <f>-Sempra_1_Expired!I21</f>
        <v>40189.999999999993</v>
      </c>
      <c r="P15" s="96">
        <f>-Sempra_1_Expired!J21</f>
        <v>40189.999999999993</v>
      </c>
      <c r="Q15" s="96">
        <f>-Sempra_1_Expired!K21</f>
        <v>0</v>
      </c>
    </row>
    <row r="16" spans="1:17" hidden="1" x14ac:dyDescent="0.2">
      <c r="A16" s="97">
        <v>1</v>
      </c>
      <c r="B16" s="97" t="s">
        <v>33</v>
      </c>
      <c r="C16" s="97" t="s">
        <v>36</v>
      </c>
      <c r="D16" s="97">
        <v>26125</v>
      </c>
      <c r="E16" s="97" t="s">
        <v>37</v>
      </c>
      <c r="F16" s="97" t="s">
        <v>38</v>
      </c>
      <c r="G16" s="97" t="s">
        <v>39</v>
      </c>
      <c r="H16" s="91" t="s">
        <v>94</v>
      </c>
      <c r="I16" s="98"/>
      <c r="J16" s="100">
        <f>+Sempra_1_Expired!D25</f>
        <v>1.9450000000000001</v>
      </c>
      <c r="K16" s="93">
        <f>(SUM(Sempra_1_Expired!G25:H36)/12)</f>
        <v>2.4591666666666661</v>
      </c>
      <c r="L16" s="102">
        <f>+O16/M16</f>
        <v>-0.51554644808743155</v>
      </c>
      <c r="M16" s="104">
        <f>-Sempra_1_Expired!F37</f>
        <v>91500</v>
      </c>
      <c r="N16" s="104">
        <f>+M16/366</f>
        <v>250</v>
      </c>
      <c r="O16" s="105">
        <f>-Sempra_1_Expired!I37</f>
        <v>-47172.499999999985</v>
      </c>
      <c r="P16" s="96">
        <f>-Sempra_1_Expired!J37</f>
        <v>-47172.499999999985</v>
      </c>
      <c r="Q16" s="96">
        <f>-Sempra_1_Expired!K37</f>
        <v>0</v>
      </c>
    </row>
    <row r="17" spans="1:17" hidden="1" x14ac:dyDescent="0.2">
      <c r="A17" s="97"/>
      <c r="B17" s="97"/>
      <c r="C17" s="97"/>
      <c r="D17" s="98"/>
      <c r="E17" s="98"/>
      <c r="F17" s="98"/>
      <c r="G17" s="98"/>
      <c r="H17" s="98"/>
      <c r="I17" s="98"/>
      <c r="J17" s="98"/>
      <c r="K17" s="108"/>
      <c r="L17" s="100">
        <f>+L15+L16</f>
        <v>-7.6311475409836016E-2</v>
      </c>
      <c r="M17" s="109">
        <f>+M11+M12</f>
        <v>0</v>
      </c>
      <c r="N17" s="109">
        <f>+N11+N12</f>
        <v>0</v>
      </c>
      <c r="O17" s="110">
        <f>+O15+O16</f>
        <v>-6982.4999999999927</v>
      </c>
      <c r="P17" s="110">
        <f>+P15+P16</f>
        <v>-6982.4999999999927</v>
      </c>
      <c r="Q17" s="110">
        <f>+Q15+Q16</f>
        <v>0</v>
      </c>
    </row>
    <row r="18" spans="1:17" ht="9.9" hidden="1" customHeight="1" x14ac:dyDescent="0.2">
      <c r="A18" s="97"/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99"/>
    </row>
    <row r="19" spans="1:17" hidden="1" x14ac:dyDescent="0.2">
      <c r="A19" s="97">
        <v>2</v>
      </c>
      <c r="B19" s="97" t="s">
        <v>33</v>
      </c>
      <c r="C19" s="97" t="s">
        <v>34</v>
      </c>
      <c r="D19" s="98"/>
      <c r="E19" s="97" t="s">
        <v>35</v>
      </c>
      <c r="F19" s="98"/>
      <c r="G19" s="97" t="s">
        <v>93</v>
      </c>
      <c r="H19" s="91" t="s">
        <v>87</v>
      </c>
      <c r="I19" s="98"/>
      <c r="J19" s="93">
        <f>+Avista_2_Expired!D9</f>
        <v>2.0049999999999999</v>
      </c>
      <c r="K19" s="93">
        <f>(SUM(Avista_2_Expired!G9:G23)+SUM(Avista_2_Expired!H9:H23))/15</f>
        <v>2.0893333333333342</v>
      </c>
      <c r="L19" s="100">
        <f>-O19/M19</f>
        <v>8.5262582056892869E-2</v>
      </c>
      <c r="M19" s="104">
        <f>-Avista_2_Expired!F24</f>
        <v>1142500</v>
      </c>
      <c r="N19" s="104">
        <f>+M19/457</f>
        <v>2500</v>
      </c>
      <c r="O19" s="105">
        <f>-Avista_2_Expired!I24</f>
        <v>-97412.500000000102</v>
      </c>
      <c r="P19" s="96">
        <f>-Avista_2_Expired!J24</f>
        <v>-97412.500000000102</v>
      </c>
      <c r="Q19" s="96">
        <f>-Avista_2_Expired!K24</f>
        <v>0</v>
      </c>
    </row>
    <row r="20" spans="1:17" hidden="1" x14ac:dyDescent="0.2">
      <c r="A20" s="97">
        <v>2</v>
      </c>
      <c r="B20" s="97" t="s">
        <v>33</v>
      </c>
      <c r="C20" s="97" t="s">
        <v>93</v>
      </c>
      <c r="D20" s="98"/>
      <c r="E20" s="97" t="s">
        <v>37</v>
      </c>
      <c r="F20" s="97" t="s">
        <v>38</v>
      </c>
      <c r="G20" s="97" t="s">
        <v>34</v>
      </c>
      <c r="H20" s="91" t="s">
        <v>87</v>
      </c>
      <c r="I20" s="98"/>
      <c r="J20" s="93">
        <f>+Avista_2_Expired!D28</f>
        <v>2.0049999999999999</v>
      </c>
      <c r="K20" s="93">
        <f>(SUM(Avista_2_Expired!G28:G42)+SUM(Avista_2_Expired!H28:H42))/15</f>
        <v>2.036</v>
      </c>
      <c r="L20" s="102">
        <f>+O20/M20</f>
        <v>-3.2899343544857858E-2</v>
      </c>
      <c r="M20" s="104">
        <f>-Avista_2_Expired!F43</f>
        <v>-1142500</v>
      </c>
      <c r="N20" s="104">
        <f>+M20/457</f>
        <v>-2500</v>
      </c>
      <c r="O20" s="105">
        <f>-Avista_2_Expired!I43</f>
        <v>37587.500000000102</v>
      </c>
      <c r="P20" s="96">
        <f>-Avista_2_Expired!J43</f>
        <v>37587.500000000102</v>
      </c>
      <c r="Q20" s="96">
        <f>-Avista_2_Expired!K43</f>
        <v>0</v>
      </c>
    </row>
    <row r="21" spans="1:17" hidden="1" x14ac:dyDescent="0.2">
      <c r="A21" s="97"/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100">
        <f>+L19+L20</f>
        <v>5.2363238512035011E-2</v>
      </c>
      <c r="M21" s="109">
        <f>+M20+M19</f>
        <v>0</v>
      </c>
      <c r="N21" s="109">
        <f>+N20+N19</f>
        <v>0</v>
      </c>
      <c r="O21" s="110">
        <f>+O20+O19</f>
        <v>-59825</v>
      </c>
      <c r="P21" s="110">
        <f>+P20+P19</f>
        <v>-59825</v>
      </c>
      <c r="Q21" s="110">
        <f>+Q20+Q19</f>
        <v>0</v>
      </c>
    </row>
    <row r="22" spans="1:17" ht="9.9" hidden="1" customHeight="1" x14ac:dyDescent="0.2">
      <c r="A22" s="97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99"/>
    </row>
    <row r="23" spans="1:17" hidden="1" x14ac:dyDescent="0.2">
      <c r="A23" s="97">
        <v>2</v>
      </c>
      <c r="B23" s="97" t="s">
        <v>33</v>
      </c>
      <c r="C23" s="97" t="s">
        <v>39</v>
      </c>
      <c r="D23" s="98"/>
      <c r="E23" s="97" t="s">
        <v>35</v>
      </c>
      <c r="F23" s="98"/>
      <c r="G23" s="97" t="s">
        <v>93</v>
      </c>
      <c r="H23" s="91" t="s">
        <v>87</v>
      </c>
      <c r="I23" s="98"/>
      <c r="J23" s="93">
        <f>+Sempra_2_Expired!D9</f>
        <v>2.1</v>
      </c>
      <c r="K23" s="93">
        <f>(SUM(Sempra_2_Expired!G9:G23)+SUM(Sempra_2_Expired!H9:H23))/15</f>
        <v>2.0893333333333342</v>
      </c>
      <c r="L23" s="100">
        <f>-O23/M23</f>
        <v>-9.7374179431073109E-3</v>
      </c>
      <c r="M23" s="104">
        <f>-Sempra_2_Expired!F24</f>
        <v>1142500</v>
      </c>
      <c r="N23" s="104">
        <f>+M23/457</f>
        <v>2500</v>
      </c>
      <c r="O23" s="105">
        <f>-Sempra_2_Expired!I24</f>
        <v>11125.000000000104</v>
      </c>
      <c r="P23" s="96">
        <f>-Sempra_2_Expired!J24</f>
        <v>11125.000000000104</v>
      </c>
      <c r="Q23" s="96">
        <f>-Sempra_2_Expired!K24</f>
        <v>0</v>
      </c>
    </row>
    <row r="24" spans="1:17" hidden="1" x14ac:dyDescent="0.2">
      <c r="A24" s="97">
        <v>2</v>
      </c>
      <c r="B24" s="97" t="s">
        <v>33</v>
      </c>
      <c r="C24" s="97" t="s">
        <v>93</v>
      </c>
      <c r="D24" s="98"/>
      <c r="E24" s="97" t="s">
        <v>37</v>
      </c>
      <c r="F24" s="97" t="s">
        <v>38</v>
      </c>
      <c r="G24" s="97" t="s">
        <v>39</v>
      </c>
      <c r="H24" s="91" t="s">
        <v>87</v>
      </c>
      <c r="I24" s="98"/>
      <c r="J24" s="93">
        <f>+Sempra_2_Expired!D28</f>
        <v>2.1</v>
      </c>
      <c r="K24" s="93">
        <f>(SUM(Sempra_2_Expired!G28:G42)+SUM(Sempra_2_Expired!H28:H42))/15</f>
        <v>2.036</v>
      </c>
      <c r="L24" s="102">
        <f>+O24/M24</f>
        <v>6.2100656455142372E-2</v>
      </c>
      <c r="M24" s="111">
        <f>-Sempra_2_Expired!F43</f>
        <v>-1142500</v>
      </c>
      <c r="N24" s="111">
        <f>+M24/457</f>
        <v>-2500</v>
      </c>
      <c r="O24" s="112">
        <f>-Sempra_2_Expired!I43</f>
        <v>-70950.00000000016</v>
      </c>
      <c r="P24" s="113">
        <f>-Sempra_2_Expired!J43</f>
        <v>-70950.00000000016</v>
      </c>
      <c r="Q24" s="113">
        <f>-Sempra_2_Expired!K43</f>
        <v>0</v>
      </c>
    </row>
    <row r="25" spans="1:17" hidden="1" x14ac:dyDescent="0.2">
      <c r="A25" s="97"/>
      <c r="B25" s="97"/>
      <c r="C25" s="97"/>
      <c r="D25" s="98"/>
      <c r="E25" s="97"/>
      <c r="F25" s="97"/>
      <c r="G25" s="97"/>
      <c r="H25" s="98"/>
      <c r="I25" s="98"/>
      <c r="J25" s="93"/>
      <c r="K25" s="93"/>
      <c r="L25" s="100">
        <f>+L23+L24</f>
        <v>5.236323851203506E-2</v>
      </c>
      <c r="M25" s="104">
        <f>+M24+M23</f>
        <v>0</v>
      </c>
      <c r="N25" s="104">
        <f>+N24+N23</f>
        <v>0</v>
      </c>
      <c r="O25" s="114">
        <f>+O24+O23</f>
        <v>-59825.000000000058</v>
      </c>
      <c r="P25" s="114">
        <f>+P24+P23</f>
        <v>-59825.000000000058</v>
      </c>
      <c r="Q25" s="114">
        <f>+Q24+Q23</f>
        <v>0</v>
      </c>
    </row>
    <row r="26" spans="1:17" ht="9.9" hidden="1" customHeight="1" x14ac:dyDescent="0.2">
      <c r="A26" s="97"/>
      <c r="B26" s="97"/>
      <c r="C26" s="97"/>
      <c r="D26" s="98"/>
      <c r="E26" s="97"/>
      <c r="F26" s="97"/>
      <c r="G26" s="97"/>
      <c r="H26" s="98"/>
      <c r="I26" s="98"/>
      <c r="J26" s="93"/>
      <c r="K26" s="93"/>
      <c r="L26" s="93"/>
      <c r="M26" s="104"/>
      <c r="N26" s="104"/>
      <c r="O26" s="105"/>
      <c r="P26" s="96"/>
      <c r="Q26" s="96"/>
    </row>
    <row r="27" spans="1:17" hidden="1" x14ac:dyDescent="0.2">
      <c r="A27" s="97">
        <v>2</v>
      </c>
      <c r="B27" s="97" t="s">
        <v>33</v>
      </c>
      <c r="C27" s="97" t="s">
        <v>39</v>
      </c>
      <c r="D27" s="98"/>
      <c r="E27" s="97" t="s">
        <v>35</v>
      </c>
      <c r="F27" s="98"/>
      <c r="G27" s="97" t="s">
        <v>93</v>
      </c>
      <c r="H27" s="91" t="s">
        <v>88</v>
      </c>
      <c r="I27" s="98"/>
      <c r="J27" s="93">
        <v>2.0099999999999998</v>
      </c>
      <c r="K27" s="93">
        <f>(SUM(Sempra_2.1_Expired!G9:G16)+SUM(Sempra_2.1_Expired!H9:H19))/8</f>
        <v>2.3775000000000004</v>
      </c>
      <c r="L27" s="100">
        <f>-O27/M27</f>
        <v>0.36506122448979617</v>
      </c>
      <c r="M27" s="104">
        <f>-Sempra_2.1_Expired!F17</f>
        <v>2450000</v>
      </c>
      <c r="N27" s="104">
        <f>+M27/245</f>
        <v>10000</v>
      </c>
      <c r="O27" s="105">
        <f>-Sempra_2.1_Expired!I17</f>
        <v>-894400.00000000058</v>
      </c>
      <c r="P27" s="96">
        <f>-Sempra_2.1_Expired!J17</f>
        <v>-894400.00000000058</v>
      </c>
      <c r="Q27" s="96">
        <f>-Sempra_2.1_Expired!K17</f>
        <v>0</v>
      </c>
    </row>
    <row r="28" spans="1:17" hidden="1" x14ac:dyDescent="0.2">
      <c r="A28" s="97">
        <v>2</v>
      </c>
      <c r="B28" s="97" t="s">
        <v>33</v>
      </c>
      <c r="C28" s="97" t="s">
        <v>93</v>
      </c>
      <c r="D28" s="98"/>
      <c r="E28" s="97" t="s">
        <v>37</v>
      </c>
      <c r="F28" s="97" t="s">
        <v>38</v>
      </c>
      <c r="G28" s="97" t="s">
        <v>39</v>
      </c>
      <c r="H28" s="91" t="s">
        <v>88</v>
      </c>
      <c r="I28" s="98"/>
      <c r="J28" s="93">
        <v>2.0099999999999998</v>
      </c>
      <c r="K28" s="93">
        <f>(SUM(Sempra_2.1_Expired!G21:G28)+SUM(Sempra_2.1_Expired!H21:H28))/8</f>
        <v>2.2675000000000001</v>
      </c>
      <c r="L28" s="102">
        <f>+O28/M28</f>
        <v>-0.25832653061224503</v>
      </c>
      <c r="M28" s="104">
        <f>-Sempra_2.1_Expired!F29</f>
        <v>-2450000</v>
      </c>
      <c r="N28" s="104">
        <f>+M28/245</f>
        <v>-10000</v>
      </c>
      <c r="O28" s="105">
        <f>-Sempra_2.1_Expired!I29</f>
        <v>632900.00000000035</v>
      </c>
      <c r="P28" s="96">
        <f>-Sempra_2.1_Expired!J29</f>
        <v>632900.00000000035</v>
      </c>
      <c r="Q28" s="96">
        <f>-Sempra_2.1_Expired!K29</f>
        <v>0</v>
      </c>
    </row>
    <row r="29" spans="1:17" hidden="1" x14ac:dyDescent="0.2">
      <c r="A29" s="97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100">
        <f t="shared" ref="L29:Q29" si="0">+L27+L28</f>
        <v>0.10673469387755113</v>
      </c>
      <c r="M29" s="109">
        <f t="shared" si="0"/>
        <v>0</v>
      </c>
      <c r="N29" s="109">
        <f t="shared" si="0"/>
        <v>0</v>
      </c>
      <c r="O29" s="110">
        <f t="shared" si="0"/>
        <v>-261500.00000000023</v>
      </c>
      <c r="P29" s="110">
        <f t="shared" si="0"/>
        <v>-261500.00000000023</v>
      </c>
      <c r="Q29" s="110">
        <f t="shared" si="0"/>
        <v>0</v>
      </c>
    </row>
    <row r="30" spans="1:17" ht="9.9" hidden="1" customHeight="1" x14ac:dyDescent="0.2">
      <c r="A30" s="97"/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108"/>
      <c r="N30" s="108"/>
      <c r="O30" s="114"/>
      <c r="P30" s="115"/>
      <c r="Q30" s="115"/>
    </row>
    <row r="31" spans="1:17" x14ac:dyDescent="0.2">
      <c r="A31" s="97">
        <v>2</v>
      </c>
      <c r="B31" s="97" t="s">
        <v>33</v>
      </c>
      <c r="C31" s="97" t="s">
        <v>40</v>
      </c>
      <c r="D31" s="98"/>
      <c r="E31" s="97" t="s">
        <v>110</v>
      </c>
      <c r="F31" s="98"/>
      <c r="G31" s="97" t="s">
        <v>93</v>
      </c>
      <c r="H31" s="91" t="s">
        <v>95</v>
      </c>
      <c r="I31" s="98"/>
      <c r="J31" s="93">
        <v>2.3650000000000002</v>
      </c>
      <c r="K31" s="93">
        <f>(SUM(RMTC_2!G9:G20)+SUM(RMTC_2!H9:H20))/12</f>
        <v>3.5558333333333336</v>
      </c>
      <c r="L31" s="100">
        <f>-O31/M31</f>
        <v>1.1929658469945355</v>
      </c>
      <c r="M31" s="116">
        <f>-RMTC_2!F22</f>
        <v>5490000</v>
      </c>
      <c r="N31" s="116">
        <f>+M31/366</f>
        <v>15000</v>
      </c>
      <c r="O31" s="105">
        <f>-RMTC_2!I22</f>
        <v>-6549382.4999999991</v>
      </c>
      <c r="P31" s="96">
        <f>-RMTC_2!J22</f>
        <v>-2088974.9999999993</v>
      </c>
      <c r="Q31" s="96">
        <f>-RMTC_2!K22</f>
        <v>-4460407.5</v>
      </c>
    </row>
    <row r="32" spans="1:17" x14ac:dyDescent="0.2">
      <c r="A32" s="97">
        <v>2</v>
      </c>
      <c r="B32" s="97" t="s">
        <v>33</v>
      </c>
      <c r="C32" s="97" t="s">
        <v>93</v>
      </c>
      <c r="D32" s="98"/>
      <c r="E32" s="97" t="s">
        <v>111</v>
      </c>
      <c r="F32" s="97" t="s">
        <v>38</v>
      </c>
      <c r="G32" s="97" t="s">
        <v>40</v>
      </c>
      <c r="H32" s="91" t="s">
        <v>95</v>
      </c>
      <c r="I32" s="98"/>
      <c r="J32" s="93">
        <v>2.3650000000000002</v>
      </c>
      <c r="K32" s="93">
        <f>(SUM(RMTC_2!G26:G37)+SUM(RMTC_2!H26:H37))/12</f>
        <v>3.5517361111111114</v>
      </c>
      <c r="L32" s="102">
        <f>+O32/M32</f>
        <v>-1.18962795992714</v>
      </c>
      <c r="M32" s="117">
        <f>-RMTC_2!F39</f>
        <v>-5490000</v>
      </c>
      <c r="N32" s="117">
        <f>+M32/366</f>
        <v>-15000</v>
      </c>
      <c r="O32" s="112">
        <f>-RMTC_2!I39</f>
        <v>6531057.4999999991</v>
      </c>
      <c r="P32" s="113">
        <f>-RMTC_2!J39</f>
        <v>2204774.9999999995</v>
      </c>
      <c r="Q32" s="113">
        <f>-RMTC_2!K39</f>
        <v>4326282.4999999991</v>
      </c>
    </row>
    <row r="33" spans="1:17" x14ac:dyDescent="0.2">
      <c r="A33" s="97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100">
        <f t="shared" ref="L33:Q33" si="1">+L31+L32</f>
        <v>3.3378870673954619E-3</v>
      </c>
      <c r="M33" s="108">
        <f t="shared" si="1"/>
        <v>0</v>
      </c>
      <c r="N33" s="108">
        <f t="shared" si="1"/>
        <v>0</v>
      </c>
      <c r="O33" s="114">
        <f t="shared" si="1"/>
        <v>-18325</v>
      </c>
      <c r="P33" s="114">
        <f t="shared" si="1"/>
        <v>115800.00000000023</v>
      </c>
      <c r="Q33" s="114">
        <f t="shared" si="1"/>
        <v>-134125.00000000093</v>
      </c>
    </row>
    <row r="34" spans="1:17" ht="9.9" customHeight="1" x14ac:dyDescent="0.2">
      <c r="A34" s="97"/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 ht="20.399999999999999" hidden="1" x14ac:dyDescent="0.2">
      <c r="A35" s="97">
        <v>6</v>
      </c>
      <c r="B35" s="97" t="s">
        <v>41</v>
      </c>
      <c r="C35" s="97" t="s">
        <v>42</v>
      </c>
      <c r="D35" s="97">
        <v>25834</v>
      </c>
      <c r="E35" s="97" t="s">
        <v>37</v>
      </c>
      <c r="F35" s="97" t="s">
        <v>38</v>
      </c>
      <c r="G35" s="91" t="s">
        <v>43</v>
      </c>
      <c r="H35" s="91" t="s">
        <v>90</v>
      </c>
      <c r="I35" s="98"/>
      <c r="J35" s="93">
        <v>2.3199999999999998</v>
      </c>
      <c r="K35" s="93">
        <f>SUM(Elpaso_6!G9:H13)/5</f>
        <v>3.1595999999999997</v>
      </c>
      <c r="L35" s="100">
        <f>O35/M35</f>
        <v>0.13866666666666677</v>
      </c>
      <c r="M35" s="104">
        <f>-Elpaso_6!F15</f>
        <v>15000000</v>
      </c>
      <c r="N35" s="118">
        <f>+M35/153</f>
        <v>98039.215686274503</v>
      </c>
      <c r="O35" s="105">
        <f>-Elpaso_6!I15</f>
        <v>2080000.0000000014</v>
      </c>
      <c r="P35" s="119">
        <f>-Elpaso_6!J15</f>
        <v>0</v>
      </c>
      <c r="Q35" s="105">
        <f>-Elpaso_6!K15</f>
        <v>2080000.0000000014</v>
      </c>
    </row>
    <row r="36" spans="1:17" ht="20.399999999999999" hidden="1" x14ac:dyDescent="0.2">
      <c r="A36" s="97">
        <v>6</v>
      </c>
      <c r="B36" s="97" t="s">
        <v>41</v>
      </c>
      <c r="C36" s="97" t="s">
        <v>42</v>
      </c>
      <c r="D36" s="97"/>
      <c r="E36" s="97" t="s">
        <v>35</v>
      </c>
      <c r="F36" s="97" t="s">
        <v>38</v>
      </c>
      <c r="G36" s="91" t="s">
        <v>43</v>
      </c>
      <c r="H36" s="91" t="s">
        <v>90</v>
      </c>
      <c r="I36" s="98"/>
      <c r="J36" s="93">
        <v>2.3199999999999998</v>
      </c>
      <c r="K36" s="93">
        <f>SUM(Elpaso_6!G9:H13)/5</f>
        <v>3.1595999999999997</v>
      </c>
      <c r="L36" s="127">
        <f>O36/M36</f>
        <v>-0.13866666666666677</v>
      </c>
      <c r="M36" s="111">
        <f>-Elpaso_6!F23</f>
        <v>15000000</v>
      </c>
      <c r="N36" s="128">
        <f>+M36/153</f>
        <v>98039.215686274503</v>
      </c>
      <c r="O36" s="112">
        <f>Elpaso_6!I15</f>
        <v>-2080000.0000000014</v>
      </c>
      <c r="P36" s="129">
        <f>-Elpaso_6!J26</f>
        <v>0</v>
      </c>
      <c r="Q36" s="112">
        <f>Elpaso_6!K15</f>
        <v>-2080000.0000000014</v>
      </c>
    </row>
    <row r="37" spans="1:17" hidden="1" x14ac:dyDescent="0.2">
      <c r="A37" s="97"/>
      <c r="B37" s="97"/>
      <c r="C37" s="97"/>
      <c r="D37" s="97"/>
      <c r="E37" s="97"/>
      <c r="F37" s="97"/>
      <c r="G37" s="91"/>
      <c r="H37" s="91"/>
      <c r="I37" s="98"/>
      <c r="J37" s="93"/>
      <c r="K37" s="93"/>
      <c r="L37" s="100">
        <f>+L35-L36</f>
        <v>0.27733333333333354</v>
      </c>
      <c r="M37" s="104">
        <f>+M36+M35</f>
        <v>30000000</v>
      </c>
      <c r="N37" s="104">
        <f>+N36+N35</f>
        <v>196078.43137254901</v>
      </c>
      <c r="O37" s="130">
        <f>+O36+O35</f>
        <v>0</v>
      </c>
      <c r="P37" s="131">
        <f>+P36+P35</f>
        <v>0</v>
      </c>
      <c r="Q37" s="130">
        <f>+Q36+Q35</f>
        <v>0</v>
      </c>
    </row>
    <row r="38" spans="1:17" hidden="1" x14ac:dyDescent="0.2">
      <c r="A38" s="97"/>
      <c r="B38" s="97"/>
      <c r="C38" s="97"/>
      <c r="D38" s="97"/>
      <c r="E38" s="97"/>
      <c r="F38" s="97"/>
      <c r="G38" s="91"/>
      <c r="H38" s="91"/>
      <c r="I38" s="98"/>
      <c r="J38" s="93"/>
      <c r="K38" s="93"/>
      <c r="L38" s="100"/>
      <c r="M38" s="104"/>
      <c r="N38" s="136"/>
      <c r="O38" s="130"/>
      <c r="P38" s="131"/>
      <c r="Q38" s="130"/>
    </row>
    <row r="39" spans="1:17" hidden="1" x14ac:dyDescent="0.2">
      <c r="A39" s="97">
        <v>8</v>
      </c>
      <c r="B39" s="97" t="s">
        <v>41</v>
      </c>
      <c r="C39" s="97" t="s">
        <v>97</v>
      </c>
      <c r="D39" s="97">
        <v>105706</v>
      </c>
      <c r="E39" s="97" t="s">
        <v>37</v>
      </c>
      <c r="F39" s="97" t="s">
        <v>47</v>
      </c>
      <c r="G39" s="91"/>
      <c r="H39" s="91" t="s">
        <v>100</v>
      </c>
      <c r="I39" s="91"/>
      <c r="J39" s="93"/>
      <c r="K39" s="100">
        <f>SUM(MEC_8_Expired!H9:H14)/6</f>
        <v>0</v>
      </c>
      <c r="L39" s="100">
        <f>O39/M39</f>
        <v>2.5582608695652174</v>
      </c>
      <c r="M39" s="104">
        <f>-MEC_8_Expired!F15</f>
        <v>-230000</v>
      </c>
      <c r="N39" s="136">
        <f>+M39/182</f>
        <v>-1263.7362637362637</v>
      </c>
      <c r="O39" s="105">
        <f>-MEC_8_Expired!I15</f>
        <v>-588400</v>
      </c>
      <c r="P39" s="119">
        <f>-MEC_8_Expired!J15</f>
        <v>-588400</v>
      </c>
      <c r="Q39" s="105">
        <f>-MEC_8_Expired!K15</f>
        <v>0</v>
      </c>
    </row>
    <row r="40" spans="1:17" hidden="1" x14ac:dyDescent="0.2">
      <c r="A40" s="97">
        <v>8</v>
      </c>
      <c r="B40" s="97" t="s">
        <v>41</v>
      </c>
      <c r="C40" s="97" t="s">
        <v>97</v>
      </c>
      <c r="D40" s="97">
        <v>105706</v>
      </c>
      <c r="E40" s="97" t="s">
        <v>37</v>
      </c>
      <c r="F40" s="97" t="s">
        <v>47</v>
      </c>
      <c r="G40" s="91"/>
      <c r="H40" s="91" t="s">
        <v>100</v>
      </c>
      <c r="I40" s="91"/>
      <c r="J40" s="93"/>
      <c r="K40" s="93">
        <f>SUM(MEC_8_Expired!H20:H25)/6</f>
        <v>0</v>
      </c>
      <c r="L40" s="127">
        <f>O40/M40</f>
        <v>2.6397391304347826</v>
      </c>
      <c r="M40" s="111">
        <f>-MEC_8_Expired!F26</f>
        <v>230000</v>
      </c>
      <c r="N40" s="111">
        <f>+M40/182</f>
        <v>1263.7362637362637</v>
      </c>
      <c r="O40" s="112">
        <f>-MEC_8_Expired!I26</f>
        <v>607140</v>
      </c>
      <c r="P40" s="129">
        <f>-MEC_8_Expired!J26</f>
        <v>607140</v>
      </c>
      <c r="Q40" s="112">
        <f>-MEC_8_Expired!K26</f>
        <v>0</v>
      </c>
    </row>
    <row r="41" spans="1:17" hidden="1" x14ac:dyDescent="0.2">
      <c r="A41" s="97"/>
      <c r="B41" s="97"/>
      <c r="C41" s="97"/>
      <c r="D41" s="97"/>
      <c r="E41" s="97"/>
      <c r="F41" s="97"/>
      <c r="G41" s="91"/>
      <c r="H41" s="91"/>
      <c r="I41" s="91"/>
      <c r="J41" s="93"/>
      <c r="K41" s="93"/>
      <c r="L41" s="100">
        <f>+L39-L40</f>
        <v>-8.1478260869565222E-2</v>
      </c>
      <c r="M41" s="104">
        <f>+M40+M39</f>
        <v>0</v>
      </c>
      <c r="N41" s="104">
        <f>+N40+N39</f>
        <v>0</v>
      </c>
      <c r="O41" s="105">
        <f>+O40+O39</f>
        <v>18740</v>
      </c>
      <c r="P41" s="119">
        <f>+P40+P39</f>
        <v>18740</v>
      </c>
      <c r="Q41" s="105">
        <f>+Q40+Q39</f>
        <v>0</v>
      </c>
    </row>
    <row r="42" spans="1:17" hidden="1" x14ac:dyDescent="0.2">
      <c r="A42" s="97"/>
      <c r="B42" s="97"/>
      <c r="C42" s="97"/>
      <c r="D42" s="97"/>
      <c r="E42" s="97"/>
      <c r="F42" s="97"/>
      <c r="G42" s="91"/>
      <c r="H42" s="91"/>
      <c r="I42" s="91"/>
      <c r="J42" s="93"/>
      <c r="K42" s="93"/>
      <c r="L42" s="100"/>
      <c r="M42" s="104"/>
      <c r="N42" s="136"/>
      <c r="O42" s="105"/>
      <c r="P42" s="119"/>
      <c r="Q42" s="105"/>
    </row>
    <row r="43" spans="1:17" x14ac:dyDescent="0.2">
      <c r="A43" s="97">
        <v>9</v>
      </c>
      <c r="B43" s="97" t="s">
        <v>33</v>
      </c>
      <c r="C43" s="97" t="s">
        <v>104</v>
      </c>
      <c r="D43" s="98"/>
      <c r="E43" s="97" t="s">
        <v>110</v>
      </c>
      <c r="F43" s="98"/>
      <c r="G43" s="97" t="s">
        <v>93</v>
      </c>
      <c r="H43" s="91" t="s">
        <v>89</v>
      </c>
      <c r="I43" s="98"/>
      <c r="J43" s="93">
        <v>3.23</v>
      </c>
      <c r="K43" s="93">
        <f>(SUM(ENA_9!G9:G20)+SUM(ENA_9!H9:H20))/12</f>
        <v>3.7484999999999999</v>
      </c>
      <c r="L43" s="100">
        <f>-O43/M43</f>
        <v>0.51634246575342468</v>
      </c>
      <c r="M43" s="116">
        <f>-ENA_9!F22</f>
        <v>1825000</v>
      </c>
      <c r="N43" s="116">
        <f>+M43/365</f>
        <v>5000</v>
      </c>
      <c r="O43" s="105">
        <f>-ENA_9!I22</f>
        <v>-942325</v>
      </c>
      <c r="P43" s="96">
        <f>-ENA_9!J22</f>
        <v>0</v>
      </c>
      <c r="Q43" s="96">
        <f>-ENA_9!K22</f>
        <v>-942325</v>
      </c>
    </row>
    <row r="44" spans="1:17" x14ac:dyDescent="0.2">
      <c r="A44" s="97">
        <v>9</v>
      </c>
      <c r="B44" s="97" t="s">
        <v>33</v>
      </c>
      <c r="C44" s="97" t="s">
        <v>93</v>
      </c>
      <c r="D44" s="98"/>
      <c r="E44" s="97" t="s">
        <v>111</v>
      </c>
      <c r="F44" s="97" t="s">
        <v>38</v>
      </c>
      <c r="G44" s="97" t="s">
        <v>104</v>
      </c>
      <c r="H44" s="91" t="s">
        <v>89</v>
      </c>
      <c r="I44" s="98"/>
      <c r="J44" s="93">
        <v>3.23</v>
      </c>
      <c r="K44" s="93">
        <f>(SUM(ENA_9!G26:G37)+SUM(ENA_9!H26:H37))/12</f>
        <v>3.6860694444444442</v>
      </c>
      <c r="L44" s="102">
        <f>+O44/M44</f>
        <v>-0.45375114155251128</v>
      </c>
      <c r="M44" s="117">
        <f>-ENA_9!F39</f>
        <v>-1825000</v>
      </c>
      <c r="N44" s="117">
        <f>+M44/365</f>
        <v>-5000</v>
      </c>
      <c r="O44" s="112">
        <f>-ENA_9!I39</f>
        <v>828095.83333333314</v>
      </c>
      <c r="P44" s="113">
        <f>-ENA_9!J39</f>
        <v>0</v>
      </c>
      <c r="Q44" s="113">
        <f>-ENA_9!K39</f>
        <v>828095.83333333314</v>
      </c>
    </row>
    <row r="45" spans="1:17" x14ac:dyDescent="0.2">
      <c r="A45" s="97"/>
      <c r="B45" s="97"/>
      <c r="C45" s="98"/>
      <c r="D45" s="98"/>
      <c r="E45" s="98"/>
      <c r="F45" s="98"/>
      <c r="G45" s="98"/>
      <c r="H45" s="98"/>
      <c r="I45" s="98"/>
      <c r="J45" s="98"/>
      <c r="K45" s="98"/>
      <c r="L45" s="100">
        <f t="shared" ref="L45:Q45" si="2">+L43+L44</f>
        <v>6.2591324200913401E-2</v>
      </c>
      <c r="M45" s="108">
        <f t="shared" si="2"/>
        <v>0</v>
      </c>
      <c r="N45" s="108">
        <f t="shared" si="2"/>
        <v>0</v>
      </c>
      <c r="O45" s="114">
        <f t="shared" si="2"/>
        <v>-114229.16666666686</v>
      </c>
      <c r="P45" s="114">
        <f t="shared" si="2"/>
        <v>0</v>
      </c>
      <c r="Q45" s="114">
        <f t="shared" si="2"/>
        <v>-114229.16666666686</v>
      </c>
    </row>
    <row r="46" spans="1:17" x14ac:dyDescent="0.2">
      <c r="A46" s="97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100"/>
      <c r="M46" s="108"/>
      <c r="N46" s="157"/>
      <c r="O46" s="114"/>
      <c r="P46" s="114"/>
      <c r="Q46" s="114"/>
    </row>
    <row r="47" spans="1:17" x14ac:dyDescent="0.2">
      <c r="A47" s="97"/>
      <c r="B47" s="97"/>
      <c r="C47" s="98"/>
      <c r="D47" s="98"/>
      <c r="E47" s="98"/>
      <c r="F47" s="98"/>
      <c r="G47" s="98"/>
      <c r="H47" s="98"/>
      <c r="I47" s="98"/>
      <c r="J47" s="98"/>
      <c r="K47" s="98"/>
      <c r="L47" s="100"/>
      <c r="M47" s="108"/>
      <c r="N47" s="157"/>
      <c r="O47" s="114"/>
      <c r="P47" s="114"/>
      <c r="Q47" s="114"/>
    </row>
    <row r="48" spans="1:17" x14ac:dyDescent="0.2">
      <c r="A48" s="97">
        <v>10</v>
      </c>
      <c r="B48" s="97" t="s">
        <v>33</v>
      </c>
      <c r="C48" s="97" t="s">
        <v>107</v>
      </c>
      <c r="D48" s="98"/>
      <c r="E48" s="97" t="s">
        <v>110</v>
      </c>
      <c r="F48" s="98"/>
      <c r="G48" s="97" t="s">
        <v>93</v>
      </c>
      <c r="H48" s="91" t="s">
        <v>89</v>
      </c>
      <c r="I48" s="98"/>
      <c r="J48" s="93">
        <v>3</v>
      </c>
      <c r="K48" s="93">
        <f>(SUM(ENA_10!G9:G20)+SUM(ENA_10!H9:H20))/12</f>
        <v>3.7484999999999999</v>
      </c>
      <c r="L48" s="100">
        <v>0.1</v>
      </c>
      <c r="M48" s="116">
        <f>-ENA_10!F22</f>
        <v>1825000</v>
      </c>
      <c r="N48" s="116">
        <f>+M48/365</f>
        <v>5000</v>
      </c>
      <c r="O48" s="105">
        <f>-ENA_10!I22</f>
        <v>-182500</v>
      </c>
      <c r="P48" s="105">
        <f>-ENA_10!J22</f>
        <v>0</v>
      </c>
      <c r="Q48" s="105">
        <f>-ENA_10!K22</f>
        <v>-182500</v>
      </c>
    </row>
    <row r="49" spans="1:17" x14ac:dyDescent="0.2">
      <c r="A49" s="97">
        <v>10</v>
      </c>
      <c r="B49" s="97" t="s">
        <v>33</v>
      </c>
      <c r="C49" s="97" t="s">
        <v>93</v>
      </c>
      <c r="D49" s="98"/>
      <c r="E49" s="97" t="s">
        <v>111</v>
      </c>
      <c r="F49" s="97" t="s">
        <v>38</v>
      </c>
      <c r="G49" s="97" t="s">
        <v>104</v>
      </c>
      <c r="H49" s="91" t="s">
        <v>89</v>
      </c>
      <c r="I49" s="98"/>
      <c r="J49" s="93">
        <v>3</v>
      </c>
      <c r="K49" s="93">
        <f>(SUM(ENA_9!G26:G37)+SUM(ENA_9!H26:H37))/12</f>
        <v>3.6860694444444442</v>
      </c>
      <c r="L49" s="102"/>
      <c r="M49" s="117">
        <f>-ENA_10!F39</f>
        <v>-1825000</v>
      </c>
      <c r="N49" s="117">
        <f>+M49/365</f>
        <v>-5000</v>
      </c>
      <c r="O49" s="169" t="s">
        <v>113</v>
      </c>
      <c r="P49" s="113">
        <f>-ENA_10!J39</f>
        <v>0</v>
      </c>
      <c r="Q49" s="167" t="s">
        <v>113</v>
      </c>
    </row>
    <row r="50" spans="1:17" x14ac:dyDescent="0.2">
      <c r="A50" s="97"/>
      <c r="B50" s="97"/>
      <c r="C50" s="98"/>
      <c r="D50" s="98"/>
      <c r="E50" s="98"/>
      <c r="F50" s="98"/>
      <c r="G50" s="98"/>
      <c r="H50" s="98"/>
      <c r="I50" s="98"/>
      <c r="J50" s="98"/>
      <c r="K50" s="98"/>
      <c r="L50" s="100">
        <f>+L48+L49</f>
        <v>0.1</v>
      </c>
      <c r="M50" s="108">
        <f>+M48+M49</f>
        <v>0</v>
      </c>
      <c r="N50" s="108">
        <f>+N48+N49</f>
        <v>0</v>
      </c>
      <c r="O50" s="114">
        <f>+O48</f>
        <v>-182500</v>
      </c>
      <c r="P50" s="114">
        <f>+P48+P49</f>
        <v>0</v>
      </c>
      <c r="Q50" s="114">
        <f>+Q48</f>
        <v>-182500</v>
      </c>
    </row>
    <row r="51" spans="1:17" x14ac:dyDescent="0.2">
      <c r="A51" s="97"/>
      <c r="B51" s="97"/>
      <c r="C51" s="98"/>
      <c r="D51" s="98"/>
      <c r="E51" s="98"/>
      <c r="F51" s="98"/>
      <c r="G51" s="98"/>
      <c r="H51" s="98"/>
      <c r="I51" s="98"/>
      <c r="J51" s="98"/>
      <c r="K51" s="98"/>
      <c r="L51" s="100"/>
      <c r="M51" s="108"/>
      <c r="N51" s="157"/>
      <c r="O51" s="114"/>
      <c r="P51" s="114"/>
      <c r="Q51" s="114"/>
    </row>
    <row r="52" spans="1:17" x14ac:dyDescent="0.2">
      <c r="A52" s="97"/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100"/>
      <c r="M52" s="108"/>
      <c r="N52" s="157"/>
      <c r="O52" s="114"/>
      <c r="P52" s="114"/>
      <c r="Q52" s="114"/>
    </row>
    <row r="53" spans="1:17" x14ac:dyDescent="0.2">
      <c r="A53" s="97">
        <v>11</v>
      </c>
      <c r="B53" s="97" t="s">
        <v>33</v>
      </c>
      <c r="C53" s="97" t="s">
        <v>104</v>
      </c>
      <c r="D53" s="98"/>
      <c r="E53" s="97" t="s">
        <v>110</v>
      </c>
      <c r="F53" s="98"/>
      <c r="G53" s="97" t="s">
        <v>93</v>
      </c>
      <c r="H53" s="91" t="s">
        <v>89</v>
      </c>
      <c r="I53" s="98"/>
      <c r="J53" s="93">
        <v>3.74</v>
      </c>
      <c r="K53" s="93">
        <f>(SUM(ENA_11!G9:G20)+SUM(ENA_11!H9:H20))/12</f>
        <v>3.7484999999999999</v>
      </c>
      <c r="L53" s="100">
        <v>0.1</v>
      </c>
      <c r="M53" s="116">
        <f>-ENA_11!F22</f>
        <v>1825000</v>
      </c>
      <c r="N53" s="116">
        <f>+M53/365</f>
        <v>5000</v>
      </c>
      <c r="O53" s="105">
        <f>-ENA_11!I22</f>
        <v>-11574.999999999582</v>
      </c>
      <c r="P53" s="96">
        <f>-ENA_11!J22</f>
        <v>0</v>
      </c>
      <c r="Q53" s="96">
        <f>-ENA_11!K22</f>
        <v>-11574.999999999582</v>
      </c>
    </row>
    <row r="54" spans="1:17" x14ac:dyDescent="0.2">
      <c r="A54" s="97">
        <v>11</v>
      </c>
      <c r="B54" s="97" t="s">
        <v>33</v>
      </c>
      <c r="C54" s="97" t="s">
        <v>93</v>
      </c>
      <c r="D54" s="98"/>
      <c r="E54" s="97" t="s">
        <v>111</v>
      </c>
      <c r="F54" s="97" t="s">
        <v>38</v>
      </c>
      <c r="G54" s="97" t="s">
        <v>104</v>
      </c>
      <c r="H54" s="91" t="s">
        <v>89</v>
      </c>
      <c r="I54" s="98"/>
      <c r="J54" s="93">
        <v>3.74</v>
      </c>
      <c r="K54" s="93">
        <f>(SUM(ENA_11!G26:G37)+SUM(ENA_11!H26:H37))/12</f>
        <v>3.6860694444444442</v>
      </c>
      <c r="L54" s="102">
        <f>+O54/M54</f>
        <v>5.624885844748892E-2</v>
      </c>
      <c r="M54" s="117">
        <f>-ENA_11!F39</f>
        <v>-1825000</v>
      </c>
      <c r="N54" s="117">
        <f>+M54/365</f>
        <v>-5000</v>
      </c>
      <c r="O54" s="112">
        <f>-ENA_11!I39</f>
        <v>-102654.16666666728</v>
      </c>
      <c r="P54" s="113">
        <f>-ENA_11!J39</f>
        <v>0</v>
      </c>
      <c r="Q54" s="113">
        <f>-ENA_11!K39</f>
        <v>-102654.16666666728</v>
      </c>
    </row>
    <row r="55" spans="1:17" x14ac:dyDescent="0.2">
      <c r="A55" s="97"/>
      <c r="B55" s="97"/>
      <c r="C55" s="98"/>
      <c r="D55" s="98"/>
      <c r="E55" s="98"/>
      <c r="F55" s="98"/>
      <c r="G55" s="98"/>
      <c r="H55" s="98"/>
      <c r="I55" s="98"/>
      <c r="J55" s="98"/>
      <c r="K55" s="98"/>
      <c r="L55" s="100">
        <f t="shared" ref="L55:Q55" si="3">+L53+L54</f>
        <v>0.15624885844748893</v>
      </c>
      <c r="M55" s="108">
        <f t="shared" si="3"/>
        <v>0</v>
      </c>
      <c r="N55" s="108">
        <f t="shared" si="3"/>
        <v>0</v>
      </c>
      <c r="O55" s="114">
        <f t="shared" si="3"/>
        <v>-114229.16666666686</v>
      </c>
      <c r="P55" s="114">
        <f t="shared" si="3"/>
        <v>0</v>
      </c>
      <c r="Q55" s="114">
        <f t="shared" si="3"/>
        <v>-114229.16666666686</v>
      </c>
    </row>
    <row r="56" spans="1:17" x14ac:dyDescent="0.2">
      <c r="A56" s="97"/>
      <c r="B56" s="97"/>
      <c r="C56" s="98"/>
      <c r="D56" s="98"/>
      <c r="E56" s="98"/>
      <c r="F56" s="98"/>
      <c r="G56" s="98"/>
      <c r="H56" s="98"/>
      <c r="I56" s="98"/>
      <c r="J56" s="98"/>
      <c r="K56" s="98"/>
      <c r="L56" s="100"/>
      <c r="M56" s="108"/>
      <c r="N56" s="157"/>
      <c r="O56" s="114"/>
      <c r="P56" s="114"/>
      <c r="Q56" s="114"/>
    </row>
    <row r="57" spans="1:17" x14ac:dyDescent="0.2">
      <c r="A57" s="97">
        <v>12</v>
      </c>
      <c r="B57" s="97" t="s">
        <v>33</v>
      </c>
      <c r="C57" s="97" t="s">
        <v>104</v>
      </c>
      <c r="D57" s="98"/>
      <c r="E57" s="97" t="s">
        <v>110</v>
      </c>
      <c r="F57" s="98"/>
      <c r="G57" s="97" t="s">
        <v>93</v>
      </c>
      <c r="H57" s="91" t="s">
        <v>89</v>
      </c>
      <c r="I57" s="98"/>
      <c r="J57" s="93">
        <v>3.63</v>
      </c>
      <c r="K57" s="93">
        <f>(SUM(ENA_12!G26:G37)+SUM(ENA_12!H26:H37))/12</f>
        <v>3.6860694444444442</v>
      </c>
      <c r="L57" s="100">
        <v>0.1</v>
      </c>
      <c r="M57" s="116">
        <f>-ENA_12!F22</f>
        <v>1825000</v>
      </c>
      <c r="N57" s="116">
        <f>+M57/365</f>
        <v>5000</v>
      </c>
      <c r="O57" s="105">
        <f>-ENA_12!I22</f>
        <v>-212325.00000000017</v>
      </c>
      <c r="P57" s="96">
        <f>-ENA_12!J22</f>
        <v>0</v>
      </c>
      <c r="Q57" s="96">
        <f>-ENA_12!K22</f>
        <v>-212325.00000000017</v>
      </c>
    </row>
    <row r="58" spans="1:17" x14ac:dyDescent="0.2">
      <c r="A58" s="97">
        <v>12</v>
      </c>
      <c r="B58" s="97" t="s">
        <v>33</v>
      </c>
      <c r="C58" s="97" t="s">
        <v>93</v>
      </c>
      <c r="D58" s="98"/>
      <c r="E58" s="97" t="s">
        <v>111</v>
      </c>
      <c r="F58" s="97" t="s">
        <v>38</v>
      </c>
      <c r="G58" s="97" t="s">
        <v>104</v>
      </c>
      <c r="H58" s="91" t="s">
        <v>89</v>
      </c>
      <c r="I58" s="98"/>
      <c r="J58" s="93">
        <v>3.63</v>
      </c>
      <c r="K58" s="93">
        <f>(SUM(ENA_12!G26:G37)+SUM(ENA_12!H26:H37))/12</f>
        <v>3.6860694444444442</v>
      </c>
      <c r="L58" s="102">
        <f>+O58/M58</f>
        <v>-5.3751141552511407E-2</v>
      </c>
      <c r="M58" s="117">
        <f>-ENA_12!F39</f>
        <v>-1825000</v>
      </c>
      <c r="N58" s="117">
        <f>+M58/365</f>
        <v>-5000</v>
      </c>
      <c r="O58" s="112">
        <f>-ENA_12!I39</f>
        <v>98095.833333333314</v>
      </c>
      <c r="P58" s="113">
        <f>-ENA_12!J39</f>
        <v>0</v>
      </c>
      <c r="Q58" s="113">
        <f>-ENA_12!K39</f>
        <v>98095.833333333314</v>
      </c>
    </row>
    <row r="59" spans="1:17" x14ac:dyDescent="0.2">
      <c r="A59" s="97"/>
      <c r="B59" s="97"/>
      <c r="C59" s="98"/>
      <c r="D59" s="98"/>
      <c r="E59" s="98"/>
      <c r="F59" s="98"/>
      <c r="G59" s="98"/>
      <c r="H59" s="98"/>
      <c r="I59" s="98"/>
      <c r="J59" s="98"/>
      <c r="K59" s="98"/>
      <c r="L59" s="100">
        <f t="shared" ref="L59:Q59" si="4">+L57+L58</f>
        <v>4.6248858447488599E-2</v>
      </c>
      <c r="M59" s="108">
        <f t="shared" si="4"/>
        <v>0</v>
      </c>
      <c r="N59" s="108">
        <f t="shared" si="4"/>
        <v>0</v>
      </c>
      <c r="O59" s="114">
        <f t="shared" si="4"/>
        <v>-114229.16666666686</v>
      </c>
      <c r="P59" s="114">
        <f t="shared" si="4"/>
        <v>0</v>
      </c>
      <c r="Q59" s="114">
        <f t="shared" si="4"/>
        <v>-114229.16666666686</v>
      </c>
    </row>
    <row r="60" spans="1:17" x14ac:dyDescent="0.2">
      <c r="A60" s="97"/>
      <c r="B60" s="97"/>
      <c r="C60" s="98"/>
      <c r="D60" s="98"/>
      <c r="E60" s="98"/>
      <c r="F60" s="98"/>
      <c r="G60" s="98"/>
      <c r="H60" s="98"/>
      <c r="I60" s="98"/>
      <c r="J60" s="98"/>
      <c r="K60" s="98"/>
      <c r="L60" s="100"/>
      <c r="M60" s="108"/>
      <c r="N60" s="157"/>
      <c r="O60" s="114"/>
      <c r="P60" s="114"/>
      <c r="Q60" s="114"/>
    </row>
    <row r="61" spans="1:17" x14ac:dyDescent="0.2">
      <c r="A61" s="97">
        <v>13</v>
      </c>
      <c r="B61" s="97" t="s">
        <v>33</v>
      </c>
      <c r="C61" s="97" t="s">
        <v>104</v>
      </c>
      <c r="D61" s="98"/>
      <c r="E61" s="97" t="s">
        <v>110</v>
      </c>
      <c r="F61" s="98"/>
      <c r="G61" s="97" t="s">
        <v>93</v>
      </c>
      <c r="H61" s="91" t="s">
        <v>89</v>
      </c>
      <c r="I61" s="98"/>
      <c r="J61" s="93">
        <v>3.585</v>
      </c>
      <c r="K61" s="93">
        <f>(SUM(ENA_13!G26:G37)+SUM(ENA_13!H26:H37))/12</f>
        <v>3.6860694444444442</v>
      </c>
      <c r="L61" s="100">
        <v>0.1</v>
      </c>
      <c r="M61" s="116">
        <f>-ENA_13!F22</f>
        <v>1825000</v>
      </c>
      <c r="N61" s="116">
        <f>+M61/365</f>
        <v>5000</v>
      </c>
      <c r="O61" s="105">
        <f>-ENA_13!I22</f>
        <v>-294450.00000000012</v>
      </c>
      <c r="P61" s="96">
        <f>-ENA_13!J22</f>
        <v>0</v>
      </c>
      <c r="Q61" s="96">
        <f>-ENA_13!K22</f>
        <v>-294450.00000000012</v>
      </c>
    </row>
    <row r="62" spans="1:17" x14ac:dyDescent="0.2">
      <c r="A62" s="97">
        <v>13</v>
      </c>
      <c r="B62" s="97" t="s">
        <v>33</v>
      </c>
      <c r="C62" s="97" t="s">
        <v>93</v>
      </c>
      <c r="D62" s="98"/>
      <c r="E62" s="97" t="s">
        <v>111</v>
      </c>
      <c r="F62" s="97" t="s">
        <v>38</v>
      </c>
      <c r="G62" s="97" t="s">
        <v>104</v>
      </c>
      <c r="H62" s="91" t="s">
        <v>89</v>
      </c>
      <c r="I62" s="98"/>
      <c r="J62" s="93">
        <v>3.585</v>
      </c>
      <c r="K62" s="93">
        <f>(SUM(ENA_12!G26:G37)+SUM(ENA_12!H26:H37))/12</f>
        <v>3.6860694444444442</v>
      </c>
      <c r="L62" s="102">
        <f>+O62/M62</f>
        <v>-9.8751141552511329E-2</v>
      </c>
      <c r="M62" s="117">
        <f>-ENA_13!F39</f>
        <v>-1825000</v>
      </c>
      <c r="N62" s="117">
        <f>+M62/365</f>
        <v>-5000</v>
      </c>
      <c r="O62" s="112">
        <f>-ENA_13!I39</f>
        <v>180220.83333333317</v>
      </c>
      <c r="P62" s="113">
        <f>-ENA_13!J39</f>
        <v>0</v>
      </c>
      <c r="Q62" s="113">
        <f>-ENA_13!K39</f>
        <v>180220.83333333317</v>
      </c>
    </row>
    <row r="63" spans="1:17" x14ac:dyDescent="0.2">
      <c r="A63" s="97"/>
      <c r="B63" s="97"/>
      <c r="C63" s="98"/>
      <c r="D63" s="98"/>
      <c r="E63" s="98"/>
      <c r="F63" s="98"/>
      <c r="G63" s="98"/>
      <c r="H63" s="98"/>
      <c r="I63" s="98"/>
      <c r="J63" s="98"/>
      <c r="K63" s="98"/>
      <c r="L63" s="100">
        <f t="shared" ref="L63:Q63" si="5">+L61+L62</f>
        <v>1.2488584474886766E-3</v>
      </c>
      <c r="M63" s="108">
        <f t="shared" si="5"/>
        <v>0</v>
      </c>
      <c r="N63" s="108">
        <f t="shared" si="5"/>
        <v>0</v>
      </c>
      <c r="O63" s="114">
        <f t="shared" si="5"/>
        <v>-114229.16666666695</v>
      </c>
      <c r="P63" s="114">
        <f t="shared" si="5"/>
        <v>0</v>
      </c>
      <c r="Q63" s="114">
        <f t="shared" si="5"/>
        <v>-114229.16666666695</v>
      </c>
    </row>
    <row r="64" spans="1:17" x14ac:dyDescent="0.2">
      <c r="A64" s="97"/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100"/>
      <c r="M64" s="108"/>
      <c r="N64" s="157"/>
      <c r="O64" s="114"/>
      <c r="P64" s="114"/>
      <c r="Q64" s="114"/>
    </row>
    <row r="65" spans="1:18" ht="10.8" thickBot="1" x14ac:dyDescent="0.25">
      <c r="A65" s="97"/>
      <c r="B65" s="97"/>
      <c r="C65" s="97"/>
      <c r="D65" s="97"/>
      <c r="E65" s="97"/>
      <c r="F65" s="97"/>
      <c r="G65" s="97"/>
      <c r="H65" s="97"/>
      <c r="I65" s="98"/>
      <c r="J65" s="162" t="s">
        <v>112</v>
      </c>
      <c r="K65" s="98"/>
      <c r="L65" s="98"/>
      <c r="M65" s="120">
        <f>+M55+M50+M45+M33+M59+M63</f>
        <v>0</v>
      </c>
      <c r="N65" s="120">
        <f>+N55+N50+N45+N33+N59+N63</f>
        <v>0</v>
      </c>
      <c r="O65" s="121">
        <f>+O55+O50+O45+O33+O59+O63</f>
        <v>-657741.66666666756</v>
      </c>
      <c r="P65" s="121">
        <f>+P55+P50+P45+P33+P59+P63</f>
        <v>115800.00000000023</v>
      </c>
      <c r="Q65" s="121">
        <f>+Q55+Q50+Q45+Q33+Q59+Q63</f>
        <v>-773541.66666666849</v>
      </c>
    </row>
    <row r="66" spans="1:18" ht="11.1" customHeight="1" thickTop="1" x14ac:dyDescent="0.2">
      <c r="A66" s="122"/>
      <c r="B66" s="122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4"/>
      <c r="Q66" s="168" t="s">
        <v>114</v>
      </c>
    </row>
    <row r="67" spans="1:18" ht="9" customHeight="1" x14ac:dyDescent="0.2">
      <c r="A67" s="160"/>
      <c r="B67" s="160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</row>
    <row r="68" spans="1:18" s="163" customFormat="1" ht="9" customHeight="1" x14ac:dyDescent="0.2">
      <c r="A68" s="164" t="s">
        <v>120</v>
      </c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73"/>
      <c r="Q68" s="166"/>
    </row>
    <row r="69" spans="1:18" ht="9" customHeight="1" x14ac:dyDescent="0.2">
      <c r="A69" s="164" t="s">
        <v>123</v>
      </c>
      <c r="B69" s="160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</row>
    <row r="70" spans="1:18" ht="9" customHeight="1" x14ac:dyDescent="0.2">
      <c r="A70" s="160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</row>
    <row r="71" spans="1:18" x14ac:dyDescent="0.2">
      <c r="A71" s="125"/>
      <c r="B71" s="125"/>
      <c r="O71" s="155"/>
      <c r="P71" s="155"/>
      <c r="Q71" s="155"/>
    </row>
    <row r="72" spans="1:18" s="69" customFormat="1" x14ac:dyDescent="0.2">
      <c r="A72" s="68" t="s">
        <v>44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</row>
    <row r="73" spans="1:18" s="69" customFormat="1" x14ac:dyDescent="0.2">
      <c r="A73" s="68" t="s">
        <v>2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</row>
    <row r="74" spans="1:18" x14ac:dyDescent="0.2">
      <c r="B74" s="125"/>
    </row>
    <row r="75" spans="1:18" s="77" customFormat="1" x14ac:dyDescent="0.2">
      <c r="A75" s="72" t="s">
        <v>3</v>
      </c>
      <c r="B75" s="73" t="s">
        <v>4</v>
      </c>
      <c r="C75" s="73" t="s">
        <v>5</v>
      </c>
      <c r="D75" s="73" t="s">
        <v>5</v>
      </c>
      <c r="E75" s="73" t="s">
        <v>5</v>
      </c>
      <c r="F75" s="73" t="s">
        <v>6</v>
      </c>
      <c r="G75" s="73" t="s">
        <v>17</v>
      </c>
      <c r="H75" s="73" t="s">
        <v>8</v>
      </c>
      <c r="I75" s="73" t="s">
        <v>9</v>
      </c>
      <c r="J75" s="73" t="s">
        <v>5</v>
      </c>
      <c r="K75" s="73" t="s">
        <v>10</v>
      </c>
      <c r="L75" s="73" t="s">
        <v>11</v>
      </c>
      <c r="M75" s="73" t="s">
        <v>5</v>
      </c>
      <c r="N75" s="73" t="s">
        <v>12</v>
      </c>
      <c r="O75" s="74"/>
      <c r="P75" s="75"/>
      <c r="Q75" s="76"/>
    </row>
    <row r="76" spans="1:18" s="77" customFormat="1" x14ac:dyDescent="0.2">
      <c r="A76" s="78" t="s">
        <v>13</v>
      </c>
      <c r="B76" s="79" t="s">
        <v>14</v>
      </c>
      <c r="C76" s="79" t="s">
        <v>14</v>
      </c>
      <c r="D76" s="79" t="s">
        <v>15</v>
      </c>
      <c r="E76" s="79" t="s">
        <v>16</v>
      </c>
      <c r="F76" s="79"/>
      <c r="G76" s="79" t="s">
        <v>24</v>
      </c>
      <c r="H76" s="79" t="s">
        <v>18</v>
      </c>
      <c r="I76" s="79" t="s">
        <v>18</v>
      </c>
      <c r="J76" s="79" t="s">
        <v>19</v>
      </c>
      <c r="K76" s="79" t="s">
        <v>20</v>
      </c>
      <c r="L76" s="79"/>
      <c r="M76" s="79" t="s">
        <v>21</v>
      </c>
      <c r="N76" s="79" t="s">
        <v>22</v>
      </c>
      <c r="O76" s="80" t="s">
        <v>102</v>
      </c>
      <c r="P76" s="81"/>
      <c r="Q76" s="82"/>
    </row>
    <row r="77" spans="1:18" s="77" customFormat="1" x14ac:dyDescent="0.2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 t="s">
        <v>25</v>
      </c>
      <c r="L77" s="79"/>
      <c r="M77" s="79" t="s">
        <v>45</v>
      </c>
      <c r="N77" s="79"/>
      <c r="O77" s="84" t="s">
        <v>27</v>
      </c>
      <c r="P77" s="84" t="s">
        <v>28</v>
      </c>
      <c r="Q77" s="85" t="s">
        <v>29</v>
      </c>
    </row>
    <row r="78" spans="1:18" s="77" customFormat="1" x14ac:dyDescent="0.2">
      <c r="A78" s="78"/>
      <c r="B78" s="79"/>
      <c r="C78" s="79"/>
      <c r="D78" s="79"/>
      <c r="E78" s="79"/>
      <c r="F78" s="79"/>
      <c r="G78" s="79"/>
      <c r="H78" s="79"/>
      <c r="I78" s="79"/>
      <c r="J78" s="79"/>
      <c r="K78" s="79" t="s">
        <v>30</v>
      </c>
      <c r="L78" s="79"/>
      <c r="M78" s="79" t="s">
        <v>46</v>
      </c>
      <c r="N78" s="126"/>
      <c r="O78" s="140" t="s">
        <v>118</v>
      </c>
      <c r="P78" s="140" t="s">
        <v>118</v>
      </c>
      <c r="Q78" s="141" t="s">
        <v>118</v>
      </c>
    </row>
    <row r="79" spans="1:18" s="143" customFormat="1" ht="20.399999999999999" hidden="1" x14ac:dyDescent="0.2">
      <c r="A79" s="144">
        <v>6</v>
      </c>
      <c r="B79" s="144" t="s">
        <v>41</v>
      </c>
      <c r="C79" s="144" t="s">
        <v>42</v>
      </c>
      <c r="D79" s="144">
        <v>25834</v>
      </c>
      <c r="E79" s="144" t="s">
        <v>35</v>
      </c>
      <c r="F79" s="144" t="s">
        <v>47</v>
      </c>
      <c r="G79" s="145" t="s">
        <v>43</v>
      </c>
      <c r="H79" s="145" t="s">
        <v>90</v>
      </c>
      <c r="I79" s="142"/>
      <c r="J79" s="146" t="s">
        <v>101</v>
      </c>
      <c r="K79" s="142"/>
      <c r="L79" s="142"/>
      <c r="M79" s="147">
        <f>-Elpaso_6!F15</f>
        <v>15000000</v>
      </c>
      <c r="N79" s="148"/>
      <c r="O79" s="149">
        <f>-Elpaso_6!I15</f>
        <v>2080000.0000000014</v>
      </c>
      <c r="P79" s="151"/>
      <c r="Q79" s="152">
        <f>+O79</f>
        <v>2080000.0000000014</v>
      </c>
      <c r="R79" s="142"/>
    </row>
    <row r="80" spans="1:18" s="143" customFormat="1" ht="20.399999999999999" x14ac:dyDescent="0.2">
      <c r="A80" s="144">
        <v>6</v>
      </c>
      <c r="B80" s="144" t="s">
        <v>41</v>
      </c>
      <c r="C80" s="144" t="s">
        <v>104</v>
      </c>
      <c r="D80" s="144"/>
      <c r="E80" s="97" t="s">
        <v>110</v>
      </c>
      <c r="F80" s="144" t="s">
        <v>47</v>
      </c>
      <c r="G80" s="145" t="s">
        <v>43</v>
      </c>
      <c r="H80" s="145" t="s">
        <v>117</v>
      </c>
      <c r="I80" s="142"/>
      <c r="J80" s="153">
        <v>3.3</v>
      </c>
      <c r="K80" s="154">
        <f>SUM(Elpaso_6!G9:G13)+SUM(Elpaso_6!H9:H13)/5</f>
        <v>3.1595999999999997</v>
      </c>
      <c r="L80" s="154">
        <f>+J80-K80</f>
        <v>0.14040000000000008</v>
      </c>
      <c r="M80" s="147">
        <v>15000000</v>
      </c>
      <c r="N80" s="147">
        <f>+M80/153</f>
        <v>98039.215686274503</v>
      </c>
      <c r="O80" s="149">
        <f>-Elpaso_6!I15</f>
        <v>2080000.0000000014</v>
      </c>
      <c r="P80" s="151"/>
      <c r="Q80" s="152">
        <f>+O80</f>
        <v>2080000.0000000014</v>
      </c>
      <c r="R80" s="170"/>
    </row>
    <row r="81" spans="1:18" s="143" customFormat="1" ht="20.399999999999999" x14ac:dyDescent="0.2">
      <c r="A81" s="144">
        <v>6</v>
      </c>
      <c r="B81" s="144" t="s">
        <v>41</v>
      </c>
      <c r="C81" s="144" t="s">
        <v>42</v>
      </c>
      <c r="D81" s="144"/>
      <c r="E81" s="97" t="s">
        <v>110</v>
      </c>
      <c r="F81" s="144" t="s">
        <v>47</v>
      </c>
      <c r="G81" s="145" t="s">
        <v>43</v>
      </c>
      <c r="H81" s="145" t="s">
        <v>117</v>
      </c>
      <c r="I81" s="142"/>
      <c r="J81" s="153">
        <v>2.3199999999999998</v>
      </c>
      <c r="K81" s="154">
        <f>SUM(Elpaso_6!G17:G21)+SUM(Elpaso_6!H17:H21)/5</f>
        <v>3.1595999999999997</v>
      </c>
      <c r="L81" s="154">
        <f>+J81-K81</f>
        <v>-0.8395999999999999</v>
      </c>
      <c r="M81" s="159">
        <v>-15000000</v>
      </c>
      <c r="N81" s="159">
        <f>+M81/153</f>
        <v>-98039.215686274503</v>
      </c>
      <c r="O81" s="158">
        <f>-Elpaso_6!I23</f>
        <v>12620000</v>
      </c>
      <c r="P81" s="151"/>
      <c r="Q81" s="158">
        <f>+O81</f>
        <v>12620000</v>
      </c>
      <c r="R81" s="142"/>
    </row>
    <row r="82" spans="1:18" s="143" customFormat="1" x14ac:dyDescent="0.2">
      <c r="A82" s="144"/>
      <c r="B82" s="144"/>
      <c r="C82" s="144"/>
      <c r="D82" s="144"/>
      <c r="E82" s="144"/>
      <c r="F82" s="144"/>
      <c r="G82" s="145"/>
      <c r="H82" s="145"/>
      <c r="I82" s="142"/>
      <c r="J82" s="153"/>
      <c r="K82" s="154"/>
      <c r="L82" s="154"/>
      <c r="M82" s="147">
        <f>+M80+M81</f>
        <v>0</v>
      </c>
      <c r="N82" s="147">
        <f>+M82/153</f>
        <v>0</v>
      </c>
      <c r="O82" s="149">
        <f>+O81+O80</f>
        <v>14700000.000000002</v>
      </c>
      <c r="P82" s="151"/>
      <c r="Q82" s="152">
        <f>+Q81+Q80</f>
        <v>14700000.000000002</v>
      </c>
      <c r="R82" s="142"/>
    </row>
    <row r="83" spans="1:18" s="143" customFormat="1" x14ac:dyDescent="0.2">
      <c r="A83" s="144"/>
      <c r="B83" s="144"/>
      <c r="C83" s="144"/>
      <c r="D83" s="144"/>
      <c r="E83" s="144"/>
      <c r="F83" s="144"/>
      <c r="G83" s="145"/>
      <c r="H83" s="145"/>
      <c r="I83" s="142"/>
      <c r="J83" s="153"/>
      <c r="K83" s="154"/>
      <c r="L83" s="154"/>
      <c r="M83" s="147"/>
      <c r="N83" s="147"/>
      <c r="O83" s="149"/>
      <c r="P83" s="151"/>
      <c r="Q83" s="156"/>
      <c r="R83" s="142"/>
    </row>
    <row r="84" spans="1:18" s="143" customFormat="1" ht="9" customHeight="1" x14ac:dyDescent="0.2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8"/>
      <c r="O84" s="150"/>
      <c r="P84" s="151"/>
      <c r="Q84" s="156"/>
      <c r="R84" s="142"/>
    </row>
    <row r="85" spans="1:18" x14ac:dyDescent="0.2">
      <c r="A85" s="97">
        <v>1</v>
      </c>
      <c r="B85" s="97" t="s">
        <v>33</v>
      </c>
      <c r="C85" s="97" t="s">
        <v>36</v>
      </c>
      <c r="D85" s="97">
        <v>26125</v>
      </c>
      <c r="E85" s="97" t="s">
        <v>111</v>
      </c>
      <c r="F85" s="97" t="s">
        <v>47</v>
      </c>
      <c r="G85" s="98"/>
      <c r="H85" s="98"/>
      <c r="I85" s="97" t="s">
        <v>96</v>
      </c>
      <c r="J85" s="98"/>
      <c r="K85" s="98"/>
      <c r="L85" s="98"/>
      <c r="M85" s="104">
        <v>-258500</v>
      </c>
      <c r="N85" s="104">
        <f>(+M85/1034)</f>
        <v>-250</v>
      </c>
      <c r="O85" s="98"/>
      <c r="P85" s="99"/>
      <c r="Q85" s="99"/>
    </row>
    <row r="86" spans="1:18" ht="9" customHeight="1" x14ac:dyDescent="0.2">
      <c r="A86" s="98"/>
      <c r="B86" s="98"/>
      <c r="C86" s="98"/>
      <c r="D86" s="98"/>
      <c r="E86" s="98"/>
      <c r="F86" s="97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8" x14ac:dyDescent="0.2">
      <c r="A87" s="97">
        <v>3</v>
      </c>
      <c r="B87" s="97" t="s">
        <v>41</v>
      </c>
      <c r="C87" s="97" t="s">
        <v>49</v>
      </c>
      <c r="D87" s="97">
        <v>101021</v>
      </c>
      <c r="E87" s="97" t="s">
        <v>111</v>
      </c>
      <c r="F87" s="97" t="s">
        <v>47</v>
      </c>
      <c r="G87" s="98"/>
      <c r="H87" s="98"/>
      <c r="I87" s="97" t="s">
        <v>91</v>
      </c>
      <c r="J87" s="98"/>
      <c r="K87" s="98"/>
      <c r="L87" s="98"/>
      <c r="M87" s="104">
        <v>822449.25</v>
      </c>
      <c r="N87" s="104">
        <f>(+M87/1034)</f>
        <v>795.40546421663441</v>
      </c>
      <c r="O87" s="98"/>
      <c r="P87" s="99"/>
      <c r="Q87" s="99"/>
    </row>
    <row r="88" spans="1:18" ht="9" customHeight="1" x14ac:dyDescent="0.2">
      <c r="A88" s="98"/>
      <c r="B88" s="98"/>
      <c r="C88" s="98"/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9"/>
      <c r="Q88" s="99"/>
    </row>
    <row r="89" spans="1:18" x14ac:dyDescent="0.2">
      <c r="A89" s="97">
        <v>4</v>
      </c>
      <c r="B89" s="97" t="s">
        <v>41</v>
      </c>
      <c r="C89" s="97" t="s">
        <v>49</v>
      </c>
      <c r="D89" s="97">
        <v>101073</v>
      </c>
      <c r="E89" s="97" t="s">
        <v>111</v>
      </c>
      <c r="F89" s="97" t="s">
        <v>47</v>
      </c>
      <c r="G89" s="98"/>
      <c r="H89" s="98"/>
      <c r="I89" s="97" t="s">
        <v>91</v>
      </c>
      <c r="J89" s="98"/>
      <c r="K89" s="98"/>
      <c r="L89" s="98"/>
      <c r="M89" s="104">
        <v>146370.1875</v>
      </c>
      <c r="N89" s="104">
        <f>+M89/1978</f>
        <v>73.999083670374119</v>
      </c>
      <c r="O89" s="98"/>
      <c r="P89" s="99"/>
      <c r="Q89" s="99"/>
    </row>
    <row r="90" spans="1:18" ht="9" customHeight="1" x14ac:dyDescent="0.2">
      <c r="A90" s="97"/>
      <c r="B90" s="97"/>
      <c r="C90" s="97"/>
      <c r="D90" s="97"/>
      <c r="E90" s="97"/>
      <c r="F90" s="97"/>
      <c r="G90" s="98"/>
      <c r="H90" s="98"/>
      <c r="I90" s="97"/>
      <c r="J90" s="98"/>
      <c r="K90" s="98"/>
      <c r="L90" s="98"/>
      <c r="M90" s="98"/>
      <c r="N90" s="98"/>
      <c r="O90" s="98"/>
      <c r="P90" s="99"/>
      <c r="Q90" s="99"/>
    </row>
    <row r="91" spans="1:18" ht="20.399999999999999" x14ac:dyDescent="0.2">
      <c r="A91" s="97">
        <v>5</v>
      </c>
      <c r="B91" s="97" t="s">
        <v>41</v>
      </c>
      <c r="C91" s="97" t="s">
        <v>50</v>
      </c>
      <c r="D91" s="97">
        <v>22064</v>
      </c>
      <c r="E91" s="97" t="s">
        <v>111</v>
      </c>
      <c r="F91" s="97" t="s">
        <v>47</v>
      </c>
      <c r="G91" s="98"/>
      <c r="H91" s="98"/>
      <c r="I91" s="91" t="s">
        <v>92</v>
      </c>
      <c r="J91" s="98"/>
      <c r="K91" s="98"/>
      <c r="L91" s="98"/>
      <c r="M91" s="104">
        <v>-1500</v>
      </c>
      <c r="N91" s="104">
        <f>+M91/153</f>
        <v>-9.8039215686274517</v>
      </c>
      <c r="O91" s="98"/>
      <c r="P91" s="99"/>
      <c r="Q91" s="99"/>
    </row>
    <row r="92" spans="1:18" ht="9" customHeight="1" x14ac:dyDescent="0.2">
      <c r="A92" s="97"/>
      <c r="B92" s="97"/>
      <c r="C92" s="97"/>
      <c r="D92" s="97"/>
      <c r="E92" s="97"/>
      <c r="F92" s="97"/>
      <c r="G92" s="98"/>
      <c r="H92" s="98"/>
      <c r="I92" s="97"/>
      <c r="J92" s="98"/>
      <c r="K92" s="98"/>
      <c r="L92" s="98"/>
      <c r="M92" s="104"/>
      <c r="N92" s="104"/>
      <c r="O92" s="98"/>
      <c r="P92" s="99"/>
      <c r="Q92" s="99"/>
    </row>
    <row r="93" spans="1:18" ht="10.8" thickBot="1" x14ac:dyDescent="0.25">
      <c r="A93" s="97"/>
      <c r="B93" s="97"/>
      <c r="C93" s="97"/>
      <c r="D93" s="97"/>
      <c r="E93" s="97"/>
      <c r="F93" s="97"/>
      <c r="G93" s="98"/>
      <c r="H93" s="98"/>
      <c r="I93" s="97"/>
      <c r="J93" s="98"/>
      <c r="K93" s="98"/>
      <c r="L93" s="98"/>
      <c r="M93" s="120">
        <f>SUM(M80:M91)</f>
        <v>708819.4375</v>
      </c>
      <c r="N93" s="120">
        <f>SUM(N85:N91)</f>
        <v>609.60062631838116</v>
      </c>
      <c r="O93" s="121">
        <f>SUM(O82:O92)</f>
        <v>14700000.000000002</v>
      </c>
      <c r="P93" s="121">
        <f>SUM(P82:P92)</f>
        <v>0</v>
      </c>
      <c r="Q93" s="121">
        <f>SUM(Q82:Q92)</f>
        <v>14700000.000000002</v>
      </c>
    </row>
    <row r="94" spans="1:18" ht="9" customHeight="1" thickTop="1" x14ac:dyDescent="0.2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4"/>
      <c r="Q94" s="124"/>
    </row>
    <row r="95" spans="1:18" ht="12" customHeight="1" x14ac:dyDescent="0.25">
      <c r="M95" s="137"/>
    </row>
    <row r="96" spans="1:18" x14ac:dyDescent="0.2">
      <c r="A96" s="29" t="s">
        <v>115</v>
      </c>
    </row>
    <row r="97" spans="1:3" x14ac:dyDescent="0.2">
      <c r="A97" s="29" t="s">
        <v>116</v>
      </c>
      <c r="B97" s="29"/>
      <c r="C97" s="29"/>
    </row>
    <row r="98" spans="1:3" x14ac:dyDescent="0.2">
      <c r="A98" s="29" t="s">
        <v>52</v>
      </c>
      <c r="B98" s="29"/>
      <c r="C98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74" t="s">
        <v>103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21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98</v>
      </c>
      <c r="H8" s="51" t="s">
        <v>98</v>
      </c>
      <c r="I8" s="58" t="s">
        <v>32</v>
      </c>
      <c r="J8" s="58" t="s">
        <v>32</v>
      </c>
      <c r="K8" s="59" t="s">
        <v>32</v>
      </c>
    </row>
    <row r="9" spans="1:11" x14ac:dyDescent="0.25">
      <c r="A9" s="31">
        <v>36465</v>
      </c>
      <c r="B9" s="15">
        <v>105706</v>
      </c>
      <c r="C9" s="16" t="s">
        <v>97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5">
      <c r="A10" s="31">
        <v>36495</v>
      </c>
      <c r="B10" s="15">
        <v>105706</v>
      </c>
      <c r="C10" s="16" t="s">
        <v>97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5">
      <c r="A11" s="31">
        <v>36526</v>
      </c>
      <c r="B11" s="15">
        <v>105706</v>
      </c>
      <c r="C11" s="16" t="s">
        <v>97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5">
      <c r="A12" s="31">
        <v>36557</v>
      </c>
      <c r="B12" s="15">
        <v>105706</v>
      </c>
      <c r="C12" s="16" t="s">
        <v>97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5">
      <c r="A13" s="31">
        <v>36586</v>
      </c>
      <c r="B13" s="15">
        <v>105706</v>
      </c>
      <c r="C13" s="16" t="s">
        <v>97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5">
      <c r="A14" s="31">
        <v>36617</v>
      </c>
      <c r="B14" s="15">
        <v>105706</v>
      </c>
      <c r="C14" s="16" t="s">
        <v>97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9">
        <f t="shared" si="1"/>
        <v>84000</v>
      </c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5">
      <c r="A18" s="31"/>
      <c r="B18" s="15"/>
      <c r="C18" s="16"/>
      <c r="D18" s="32"/>
      <c r="E18" s="15"/>
      <c r="F18" s="18"/>
      <c r="G18" s="15"/>
      <c r="H18" s="134" t="s">
        <v>99</v>
      </c>
      <c r="I18" s="17"/>
      <c r="J18" s="39"/>
      <c r="K18" s="19"/>
    </row>
    <row r="19" spans="1:12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5">
      <c r="A20" s="31">
        <v>36465</v>
      </c>
      <c r="B20" s="15">
        <v>105706</v>
      </c>
      <c r="C20" s="16" t="s">
        <v>97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5">
      <c r="A21" s="31">
        <v>36495</v>
      </c>
      <c r="B21" s="15">
        <v>105706</v>
      </c>
      <c r="C21" s="16" t="s">
        <v>97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5">
      <c r="A22" s="31">
        <v>36526</v>
      </c>
      <c r="B22" s="15">
        <v>105706</v>
      </c>
      <c r="C22" s="16" t="s">
        <v>97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5">
      <c r="A23" s="31">
        <v>36557</v>
      </c>
      <c r="B23" s="15">
        <v>105706</v>
      </c>
      <c r="C23" s="16" t="s">
        <v>97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5">
      <c r="A24" s="31">
        <v>36586</v>
      </c>
      <c r="B24" s="15">
        <v>105706</v>
      </c>
      <c r="C24" s="16" t="s">
        <v>97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5">
      <c r="A25" s="31">
        <v>36617</v>
      </c>
      <c r="B25" s="15">
        <v>105706</v>
      </c>
      <c r="C25" s="16" t="s">
        <v>97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9">
        <f t="shared" si="3"/>
        <v>-87900</v>
      </c>
      <c r="K25" s="67"/>
    </row>
    <row r="26" spans="1:12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5">
        <f>SUM(I20:I25)</f>
        <v>-607140</v>
      </c>
      <c r="J26" s="135">
        <f>SUM(J20:J25)</f>
        <v>-607140</v>
      </c>
      <c r="K26" s="135">
        <f>SUM(K20:K25)</f>
        <v>0</v>
      </c>
      <c r="L26" s="20"/>
    </row>
    <row r="27" spans="1:12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8" thickBot="1" x14ac:dyDescent="0.3">
      <c r="A28" s="31"/>
      <c r="B28" s="15"/>
      <c r="C28" s="16"/>
      <c r="D28" s="32"/>
      <c r="E28" s="15"/>
      <c r="F28" s="132">
        <f>+F26+F15</f>
        <v>0</v>
      </c>
      <c r="G28" s="15"/>
      <c r="H28" s="32"/>
      <c r="I28" s="133">
        <f>+I26+I15</f>
        <v>-18740</v>
      </c>
      <c r="J28" s="133">
        <f>+J26+J15</f>
        <v>-18740</v>
      </c>
      <c r="K28" s="133">
        <f>+K26+K15</f>
        <v>0</v>
      </c>
    </row>
    <row r="29" spans="1:12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5">
      <c r="A31" s="29" t="s">
        <v>51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54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5">
      <c r="A7" s="5" t="s">
        <v>56</v>
      </c>
      <c r="B7" s="6" t="s">
        <v>5</v>
      </c>
      <c r="C7" s="6" t="s">
        <v>5</v>
      </c>
      <c r="D7" s="6" t="s">
        <v>57</v>
      </c>
      <c r="E7" s="6"/>
      <c r="F7" s="6" t="s">
        <v>12</v>
      </c>
      <c r="G7" s="6" t="s">
        <v>58</v>
      </c>
      <c r="H7" s="6" t="s">
        <v>25</v>
      </c>
      <c r="I7" s="55" t="s">
        <v>59</v>
      </c>
      <c r="J7" s="56"/>
      <c r="K7" s="57"/>
    </row>
    <row r="8" spans="1:11" s="7" customFormat="1" x14ac:dyDescent="0.25">
      <c r="A8" s="8" t="s">
        <v>60</v>
      </c>
      <c r="B8" s="9" t="s">
        <v>15</v>
      </c>
      <c r="C8" s="9" t="s">
        <v>14</v>
      </c>
      <c r="D8" s="9" t="s">
        <v>19</v>
      </c>
      <c r="E8" s="9"/>
      <c r="F8" s="9" t="s">
        <v>61</v>
      </c>
      <c r="G8" s="9" t="s">
        <v>19</v>
      </c>
      <c r="H8" s="9" t="s">
        <v>19</v>
      </c>
      <c r="I8" s="9" t="s">
        <v>27</v>
      </c>
      <c r="J8" s="9" t="s">
        <v>28</v>
      </c>
      <c r="K8" s="10" t="s">
        <v>29</v>
      </c>
    </row>
    <row r="9" spans="1:11" x14ac:dyDescent="0.25">
      <c r="A9" s="11"/>
      <c r="B9" s="12"/>
      <c r="C9" s="12"/>
      <c r="D9" s="12"/>
      <c r="E9" s="12"/>
      <c r="F9" s="12"/>
      <c r="G9" s="46" t="s">
        <v>62</v>
      </c>
      <c r="H9" s="13"/>
      <c r="I9" s="58" t="s">
        <v>32</v>
      </c>
      <c r="J9" s="58" t="s">
        <v>32</v>
      </c>
      <c r="K9" s="59" t="s">
        <v>32</v>
      </c>
    </row>
    <row r="10" spans="1:11" x14ac:dyDescent="0.25">
      <c r="A10" s="14">
        <v>35947</v>
      </c>
      <c r="B10" s="15"/>
      <c r="C10" s="16" t="s">
        <v>34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34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34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34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34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34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34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34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34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34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34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34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5">
      <c r="A24" s="20"/>
      <c r="B24" s="15"/>
      <c r="C24" s="15"/>
      <c r="D24" s="15"/>
      <c r="E24" s="15"/>
      <c r="F24" s="15"/>
      <c r="G24" s="50" t="s">
        <v>63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36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36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36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36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36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36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36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36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36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36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36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36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51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77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6" x14ac:dyDescent="0.3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36069</v>
      </c>
      <c r="B9" s="15"/>
      <c r="C9" s="16" t="s">
        <v>34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5">
      <c r="A10" s="31">
        <v>36100</v>
      </c>
      <c r="B10" s="15"/>
      <c r="C10" s="16" t="s">
        <v>34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34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34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34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34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34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34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34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34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34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34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34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34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34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5">
      <c r="A26" s="15"/>
      <c r="B26" s="15"/>
      <c r="C26" s="15"/>
      <c r="D26" s="15"/>
      <c r="E26" s="15"/>
      <c r="F26" s="38"/>
      <c r="G26" s="50" t="s">
        <v>63</v>
      </c>
      <c r="H26" s="15"/>
      <c r="I26" s="52"/>
      <c r="J26" s="53"/>
      <c r="K26" s="53"/>
      <c r="L26" s="43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48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5">
      <c r="A29" s="31">
        <v>36100</v>
      </c>
      <c r="B29" s="15"/>
      <c r="C29" s="16" t="s">
        <v>48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48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48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48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48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48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48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48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48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48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48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48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48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48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51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8" topLeftCell="I1"/>
      <selection activeCell="A4" sqref="A4:IV4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36069</v>
      </c>
      <c r="B9" s="15"/>
      <c r="C9" s="16" t="s">
        <v>39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5">
      <c r="A10" s="31">
        <v>36100</v>
      </c>
      <c r="B10" s="15"/>
      <c r="C10" s="16" t="s">
        <v>39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5">
      <c r="A11" s="31">
        <v>36130</v>
      </c>
      <c r="B11" s="15"/>
      <c r="C11" s="16" t="s">
        <v>39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5">
      <c r="A12" s="31">
        <v>36161</v>
      </c>
      <c r="B12" s="15"/>
      <c r="C12" s="16" t="s">
        <v>39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5">
      <c r="A13" s="31">
        <v>36192</v>
      </c>
      <c r="B13" s="15"/>
      <c r="C13" s="16" t="s">
        <v>39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5">
      <c r="A14" s="31">
        <v>36220</v>
      </c>
      <c r="B14" s="15"/>
      <c r="C14" s="16" t="s">
        <v>39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5">
      <c r="A15" s="31">
        <v>36251</v>
      </c>
      <c r="B15" s="15"/>
      <c r="C15" s="16" t="s">
        <v>39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5">
      <c r="A16" s="31">
        <v>36281</v>
      </c>
      <c r="B16" s="15"/>
      <c r="C16" s="16" t="s">
        <v>39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5">
      <c r="A17" s="31">
        <v>36312</v>
      </c>
      <c r="B17" s="15"/>
      <c r="C17" s="16" t="s">
        <v>39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5">
      <c r="A18" s="31">
        <v>36342</v>
      </c>
      <c r="B18" s="15"/>
      <c r="C18" s="16" t="s">
        <v>39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5">
      <c r="A19" s="31">
        <v>36373</v>
      </c>
      <c r="B19" s="15"/>
      <c r="C19" s="16" t="s">
        <v>39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5">
      <c r="A20" s="31">
        <v>36404</v>
      </c>
      <c r="B20" s="15"/>
      <c r="C20" s="16" t="s">
        <v>39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5">
      <c r="A21" s="31">
        <v>36434</v>
      </c>
      <c r="B21" s="15"/>
      <c r="C21" s="16" t="s">
        <v>39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5">
      <c r="A22" s="31">
        <v>36465</v>
      </c>
      <c r="B22" s="15"/>
      <c r="C22" s="16" t="s">
        <v>39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5">
      <c r="A23" s="31">
        <v>36495</v>
      </c>
      <c r="B23" s="15"/>
      <c r="C23" s="16" t="s">
        <v>39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"/>
      <c r="B26" s="15"/>
      <c r="C26" s="15"/>
      <c r="D26" s="15"/>
      <c r="E26" s="15"/>
      <c r="F26" s="15"/>
      <c r="G26" s="50" t="s">
        <v>63</v>
      </c>
      <c r="H26" s="36"/>
      <c r="I26" s="15"/>
      <c r="J26" s="39"/>
      <c r="K26" s="39"/>
    </row>
    <row r="27" spans="1:11" x14ac:dyDescent="0.25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5">
      <c r="A28" s="31">
        <v>36069</v>
      </c>
      <c r="B28" s="15"/>
      <c r="C28" s="16" t="s">
        <v>48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5">
      <c r="A29" s="31">
        <v>36100</v>
      </c>
      <c r="B29" s="15"/>
      <c r="C29" s="16" t="s">
        <v>48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5">
      <c r="A30" s="31">
        <v>36130</v>
      </c>
      <c r="B30" s="15"/>
      <c r="C30" s="16" t="s">
        <v>48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5">
      <c r="A31" s="31">
        <v>36161</v>
      </c>
      <c r="B31" s="15"/>
      <c r="C31" s="16" t="s">
        <v>48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5">
      <c r="A32" s="31">
        <v>36192</v>
      </c>
      <c r="B32" s="15"/>
      <c r="C32" s="16" t="s">
        <v>48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5">
      <c r="A33" s="31">
        <v>36220</v>
      </c>
      <c r="B33" s="15"/>
      <c r="C33" s="16" t="s">
        <v>48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5">
      <c r="A34" s="31">
        <v>36251</v>
      </c>
      <c r="B34" s="15"/>
      <c r="C34" s="16" t="s">
        <v>48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5">
      <c r="A35" s="31">
        <v>36281</v>
      </c>
      <c r="B35" s="15"/>
      <c r="C35" s="16" t="s">
        <v>48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5">
      <c r="A36" s="31">
        <v>36312</v>
      </c>
      <c r="B36" s="15"/>
      <c r="C36" s="16" t="s">
        <v>48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5">
      <c r="A37" s="31">
        <v>36342</v>
      </c>
      <c r="B37" s="15"/>
      <c r="C37" s="16" t="s">
        <v>48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5">
      <c r="A38" s="31">
        <v>36373</v>
      </c>
      <c r="B38" s="15"/>
      <c r="C38" s="16" t="s">
        <v>48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5">
      <c r="A39" s="31">
        <v>36404</v>
      </c>
      <c r="B39" s="15"/>
      <c r="C39" s="16" t="s">
        <v>48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5">
      <c r="A40" s="31">
        <v>36434</v>
      </c>
      <c r="B40" s="15"/>
      <c r="C40" s="16" t="s">
        <v>48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5">
      <c r="A41" s="31">
        <v>36465</v>
      </c>
      <c r="B41" s="15"/>
      <c r="C41" s="16" t="s">
        <v>48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5">
      <c r="A42" s="31">
        <v>36495</v>
      </c>
      <c r="B42" s="15"/>
      <c r="C42" s="16" t="s">
        <v>48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5">
      <c r="A48" s="29" t="s">
        <v>51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36281</v>
      </c>
      <c r="B9" s="15"/>
      <c r="C9" s="16" t="s">
        <v>39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5">
      <c r="A10" s="31">
        <v>36312</v>
      </c>
      <c r="B10" s="15"/>
      <c r="C10" s="16" t="s">
        <v>39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5">
      <c r="A11" s="31">
        <v>36342</v>
      </c>
      <c r="B11" s="15"/>
      <c r="C11" s="16" t="s">
        <v>39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5">
      <c r="A12" s="31">
        <v>36373</v>
      </c>
      <c r="B12" s="15"/>
      <c r="C12" s="16" t="s">
        <v>39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5">
      <c r="A13" s="31">
        <v>36404</v>
      </c>
      <c r="B13" s="15"/>
      <c r="C13" s="16" t="s">
        <v>39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5">
      <c r="A14" s="31">
        <v>36434</v>
      </c>
      <c r="B14" s="15"/>
      <c r="C14" s="16" t="s">
        <v>39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5">
      <c r="A15" s="31">
        <v>36465</v>
      </c>
      <c r="B15" s="15"/>
      <c r="C15" s="16" t="s">
        <v>39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5">
      <c r="A16" s="31">
        <v>36495</v>
      </c>
      <c r="B16" s="15"/>
      <c r="C16" s="16" t="s">
        <v>39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5">
      <c r="A19" s="15"/>
      <c r="B19" s="15"/>
      <c r="C19" s="15"/>
      <c r="D19" s="15"/>
      <c r="E19" s="15"/>
      <c r="F19" s="15"/>
      <c r="G19" s="50" t="s">
        <v>63</v>
      </c>
      <c r="H19" s="36"/>
      <c r="I19" s="15"/>
      <c r="J19" s="39"/>
      <c r="K19" s="39"/>
    </row>
    <row r="20" spans="1:11" x14ac:dyDescent="0.25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5">
      <c r="A21" s="31">
        <v>36281</v>
      </c>
      <c r="B21" s="15"/>
      <c r="C21" s="16" t="s">
        <v>48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5">
      <c r="A22" s="31">
        <v>36312</v>
      </c>
      <c r="B22" s="15"/>
      <c r="C22" s="16" t="s">
        <v>48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5">
      <c r="A23" s="31">
        <v>36342</v>
      </c>
      <c r="B23" s="15"/>
      <c r="C23" s="16" t="s">
        <v>48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5">
      <c r="A24" s="31">
        <v>36373</v>
      </c>
      <c r="B24" s="15"/>
      <c r="C24" s="16" t="s">
        <v>48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5">
      <c r="A25" s="31">
        <v>36404</v>
      </c>
      <c r="B25" s="15"/>
      <c r="C25" s="16" t="s">
        <v>48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5">
      <c r="A26" s="31">
        <v>36434</v>
      </c>
      <c r="B26" s="15"/>
      <c r="C26" s="16" t="s">
        <v>48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5">
      <c r="A27" s="31">
        <v>36465</v>
      </c>
      <c r="B27" s="15"/>
      <c r="C27" s="16" t="s">
        <v>48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5">
      <c r="A28" s="31">
        <v>36495</v>
      </c>
      <c r="B28" s="15"/>
      <c r="C28" s="16" t="s">
        <v>48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5">
      <c r="A34" s="29" t="s">
        <v>51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11" width="15" bestFit="1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36526</v>
      </c>
      <c r="B9" s="15"/>
      <c r="C9" s="16" t="s">
        <v>40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5" si="0">(+D9-G9)*F9</f>
        <v>-81375.000000000131</v>
      </c>
      <c r="J9" s="41">
        <f t="shared" ref="J9:J15" si="1">+I9</f>
        <v>-81375.000000000131</v>
      </c>
      <c r="K9" s="41"/>
    </row>
    <row r="10" spans="1:11" x14ac:dyDescent="0.25">
      <c r="A10" s="31">
        <v>36557</v>
      </c>
      <c r="B10" s="15"/>
      <c r="C10" s="16" t="s">
        <v>40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5">
      <c r="A11" s="31">
        <v>36586</v>
      </c>
      <c r="B11" s="15"/>
      <c r="C11" s="16" t="s">
        <v>40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5">
      <c r="A12" s="31">
        <v>36617</v>
      </c>
      <c r="B12" s="15"/>
      <c r="C12" s="16" t="s">
        <v>40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5">
      <c r="A13" s="31">
        <v>36647</v>
      </c>
      <c r="B13" s="15"/>
      <c r="C13" s="16" t="s">
        <v>40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5">
      <c r="A14" s="31">
        <v>36678</v>
      </c>
      <c r="B14" s="15"/>
      <c r="C14" s="16" t="s">
        <v>40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5">
      <c r="A15" s="31">
        <v>36708</v>
      </c>
      <c r="B15" s="15"/>
      <c r="C15" s="16" t="s">
        <v>40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5">
      <c r="A16" s="31">
        <v>36739</v>
      </c>
      <c r="B16" s="15"/>
      <c r="C16" s="16" t="s">
        <v>40</v>
      </c>
      <c r="D16" s="32">
        <v>2.3650000000000002</v>
      </c>
      <c r="E16" s="15"/>
      <c r="F16" s="18">
        <f t="shared" si="2"/>
        <v>-465000</v>
      </c>
      <c r="G16" s="15"/>
      <c r="H16" s="32">
        <v>3.77</v>
      </c>
      <c r="I16" s="17">
        <f>SUM(D16-H16)*F16</f>
        <v>653324.99999999988</v>
      </c>
      <c r="J16" s="39"/>
      <c r="K16" s="41">
        <f>+I16</f>
        <v>653324.99999999988</v>
      </c>
    </row>
    <row r="17" spans="1:11" x14ac:dyDescent="0.25">
      <c r="A17" s="31">
        <v>36770</v>
      </c>
      <c r="B17" s="15"/>
      <c r="C17" s="16" t="s">
        <v>40</v>
      </c>
      <c r="D17" s="32">
        <v>2.3650000000000002</v>
      </c>
      <c r="E17" s="15"/>
      <c r="F17" s="18">
        <f>-15000*30</f>
        <v>-450000</v>
      </c>
      <c r="G17" s="15"/>
      <c r="H17" s="32">
        <f>+[1]Sheet1!$F35</f>
        <v>4.4000000000000004</v>
      </c>
      <c r="I17" s="17">
        <f>SUM(D17-H17)*F17</f>
        <v>915750.00000000012</v>
      </c>
      <c r="J17" s="39"/>
      <c r="K17" s="41">
        <f>+I17</f>
        <v>915750.00000000012</v>
      </c>
    </row>
    <row r="18" spans="1:11" x14ac:dyDescent="0.25">
      <c r="A18" s="31">
        <v>36800</v>
      </c>
      <c r="B18" s="15"/>
      <c r="C18" s="16" t="s">
        <v>40</v>
      </c>
      <c r="D18" s="32">
        <v>2.3650000000000002</v>
      </c>
      <c r="E18" s="15"/>
      <c r="F18" s="18">
        <f t="shared" si="2"/>
        <v>-465000</v>
      </c>
      <c r="G18" s="15"/>
      <c r="H18" s="32">
        <f>+[1]Sheet1!$F36</f>
        <v>4.4130000000000003</v>
      </c>
      <c r="I18" s="17">
        <f>SUM(D18-H18)*F18</f>
        <v>952320</v>
      </c>
      <c r="J18" s="39"/>
      <c r="K18" s="41">
        <f>+I18</f>
        <v>952320</v>
      </c>
    </row>
    <row r="19" spans="1:11" x14ac:dyDescent="0.25">
      <c r="A19" s="31">
        <v>36831</v>
      </c>
      <c r="B19" s="15"/>
      <c r="C19" s="16" t="s">
        <v>40</v>
      </c>
      <c r="D19" s="32">
        <v>2.3650000000000002</v>
      </c>
      <c r="E19" s="15"/>
      <c r="F19" s="18">
        <f>-15000*30</f>
        <v>-450000</v>
      </c>
      <c r="G19" s="15"/>
      <c r="H19" s="32">
        <f>+[1]Sheet1!$F37</f>
        <v>4.4445000000000006</v>
      </c>
      <c r="I19" s="17">
        <f>SUM(D19-H19)*F19</f>
        <v>935775.00000000012</v>
      </c>
      <c r="J19" s="39"/>
      <c r="K19" s="41">
        <f>+I19</f>
        <v>935775.00000000012</v>
      </c>
    </row>
    <row r="20" spans="1:11" x14ac:dyDescent="0.25">
      <c r="A20" s="31">
        <v>36861</v>
      </c>
      <c r="B20" s="15"/>
      <c r="C20" s="16" t="s">
        <v>40</v>
      </c>
      <c r="D20" s="32">
        <v>2.3650000000000002</v>
      </c>
      <c r="E20" s="15"/>
      <c r="F20" s="18">
        <f t="shared" si="2"/>
        <v>-465000</v>
      </c>
      <c r="G20" s="15"/>
      <c r="H20" s="32">
        <f>+[1]Sheet1!$F38</f>
        <v>4.5225</v>
      </c>
      <c r="I20" s="17">
        <f>SUM(D20-H20)*F20</f>
        <v>1003237.4999999999</v>
      </c>
      <c r="J20" s="39"/>
      <c r="K20" s="41">
        <f>+I20</f>
        <v>1003237.4999999999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6549382.4999999991</v>
      </c>
      <c r="J22" s="35">
        <f>SUM(J9:J20)</f>
        <v>2088974.9999999993</v>
      </c>
      <c r="K22" s="35">
        <f>SUM(K9:K20)</f>
        <v>4460407.5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36526</v>
      </c>
      <c r="B26" s="15"/>
      <c r="C26" s="16" t="s">
        <v>48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2" si="3">(+D26-G26)*F26</f>
        <v>48825.000000000196</v>
      </c>
      <c r="J26" s="41">
        <f t="shared" ref="J26:J32" si="4">+I26</f>
        <v>48825.000000000196</v>
      </c>
      <c r="K26" s="41"/>
    </row>
    <row r="27" spans="1:11" x14ac:dyDescent="0.25">
      <c r="A27" s="31">
        <v>36557</v>
      </c>
      <c r="B27" s="15"/>
      <c r="C27" s="16" t="s">
        <v>48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5">
      <c r="A28" s="31">
        <v>36586</v>
      </c>
      <c r="B28" s="15"/>
      <c r="C28" s="16" t="s">
        <v>48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5">
      <c r="A29" s="31">
        <v>36617</v>
      </c>
      <c r="B29" s="15"/>
      <c r="C29" s="16" t="s">
        <v>48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5">
      <c r="A30" s="31">
        <v>36647</v>
      </c>
      <c r="B30" s="15"/>
      <c r="C30" s="16" t="s">
        <v>48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5">
      <c r="A31" s="31">
        <v>36678</v>
      </c>
      <c r="B31" s="15"/>
      <c r="C31" s="16" t="s">
        <v>48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5">
      <c r="A32" s="31">
        <v>36708</v>
      </c>
      <c r="B32" s="15"/>
      <c r="C32" s="16" t="s">
        <v>48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5">
      <c r="A33" s="31">
        <v>36739</v>
      </c>
      <c r="B33" s="15"/>
      <c r="C33" s="16" t="s">
        <v>48</v>
      </c>
      <c r="D33" s="32">
        <v>2.3650000000000002</v>
      </c>
      <c r="E33" s="15"/>
      <c r="F33" s="18">
        <f>15000*31</f>
        <v>465000</v>
      </c>
      <c r="G33" s="15"/>
      <c r="H33" s="61">
        <v>3.98</v>
      </c>
      <c r="I33" s="17">
        <f>SUM(D33-H33)*F33</f>
        <v>-750974.99999999988</v>
      </c>
      <c r="J33" s="39"/>
      <c r="K33" s="41">
        <f>+I33</f>
        <v>-750974.99999999988</v>
      </c>
    </row>
    <row r="34" spans="1:11" x14ac:dyDescent="0.25">
      <c r="A34" s="31">
        <v>36770</v>
      </c>
      <c r="B34" s="15"/>
      <c r="C34" s="16" t="s">
        <v>48</v>
      </c>
      <c r="D34" s="32">
        <v>2.3650000000000002</v>
      </c>
      <c r="E34" s="15"/>
      <c r="F34" s="18">
        <f>15000*30</f>
        <v>450000</v>
      </c>
      <c r="G34" s="15"/>
      <c r="H34" s="61">
        <f>+[1]Sheet1!$R9</f>
        <v>4.1216666666666661</v>
      </c>
      <c r="I34" s="17">
        <f>SUM(D34-H34)*F34</f>
        <v>-790499.99999999965</v>
      </c>
      <c r="J34" s="39"/>
      <c r="K34" s="41">
        <f>+I34</f>
        <v>-790499.99999999965</v>
      </c>
    </row>
    <row r="35" spans="1:11" x14ac:dyDescent="0.25">
      <c r="A35" s="31">
        <v>36800</v>
      </c>
      <c r="B35" s="15"/>
      <c r="C35" s="16" t="s">
        <v>48</v>
      </c>
      <c r="D35" s="32">
        <v>2.3650000000000002</v>
      </c>
      <c r="E35" s="15"/>
      <c r="F35" s="18">
        <f>15000*31</f>
        <v>465000</v>
      </c>
      <c r="G35" s="15"/>
      <c r="H35" s="61">
        <f>+[1]Sheet1!$R10</f>
        <v>4.2779999999999996</v>
      </c>
      <c r="I35" s="17">
        <f>SUM(D35-H35)*F35</f>
        <v>-889544.99999999965</v>
      </c>
      <c r="J35" s="39"/>
      <c r="K35" s="41">
        <f>+I35</f>
        <v>-889544.99999999965</v>
      </c>
    </row>
    <row r="36" spans="1:11" x14ac:dyDescent="0.25">
      <c r="A36" s="31">
        <v>36831</v>
      </c>
      <c r="B36" s="15"/>
      <c r="C36" s="16" t="s">
        <v>48</v>
      </c>
      <c r="D36" s="32">
        <v>2.3650000000000002</v>
      </c>
      <c r="E36" s="15"/>
      <c r="F36" s="18">
        <f>15000*30</f>
        <v>450000</v>
      </c>
      <c r="G36" s="15"/>
      <c r="H36" s="61">
        <f>+[1]Sheet1!$R11</f>
        <v>4.3903333333333334</v>
      </c>
      <c r="I36" s="17">
        <f>SUM(D36-H36)*F36</f>
        <v>-911400</v>
      </c>
      <c r="J36" s="39"/>
      <c r="K36" s="41">
        <f>+I36</f>
        <v>-911400</v>
      </c>
    </row>
    <row r="37" spans="1:11" x14ac:dyDescent="0.25">
      <c r="A37" s="31">
        <v>36861</v>
      </c>
      <c r="B37" s="15"/>
      <c r="C37" s="16" t="s">
        <v>48</v>
      </c>
      <c r="D37" s="32">
        <v>2.3650000000000002</v>
      </c>
      <c r="E37" s="15"/>
      <c r="F37" s="18">
        <f>15000*31</f>
        <v>465000</v>
      </c>
      <c r="G37" s="15"/>
      <c r="H37" s="61">
        <f>+[1]Sheet1!$R12</f>
        <v>4.480833333333333</v>
      </c>
      <c r="I37" s="17">
        <f>SUM(D37-H37)*F37</f>
        <v>-983862.49999999977</v>
      </c>
      <c r="J37" s="39"/>
      <c r="K37" s="41">
        <f>+I37</f>
        <v>-983862.49999999977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-6531057.4999999991</v>
      </c>
      <c r="J39" s="33">
        <f>SUM(J26:J38)</f>
        <v>-2204774.9999999995</v>
      </c>
      <c r="K39" s="33">
        <f>SUM(K26:K38)</f>
        <v>-4326282.4999999991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18325</v>
      </c>
      <c r="J41" s="34">
        <f>+J39+J22</f>
        <v>-115800.00000000023</v>
      </c>
      <c r="K41" s="34">
        <f>+K39+K22</f>
        <v>134125.00000000093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5.6640625" bestFit="1" customWidth="1"/>
    <col min="5" max="5" width="0" hidden="1" customWidth="1"/>
    <col min="6" max="6" width="12.6640625" customWidth="1"/>
    <col min="7" max="7" width="13.109375" bestFit="1" customWidth="1"/>
    <col min="8" max="8" width="10.6640625" customWidth="1"/>
    <col min="9" max="9" width="15.44140625" bestFit="1" customWidth="1"/>
    <col min="10" max="10" width="13.44140625" customWidth="1"/>
    <col min="11" max="11" width="15.44140625" bestFit="1" customWidth="1"/>
  </cols>
  <sheetData>
    <row r="1" spans="1:11" s="2" customFormat="1" ht="15.6" x14ac:dyDescent="0.3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1" x14ac:dyDescent="0.25">
      <c r="G5" s="171"/>
      <c r="H5" s="171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84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37408</v>
      </c>
      <c r="B9" s="15"/>
      <c r="C9" s="16" t="s">
        <v>104</v>
      </c>
      <c r="D9" s="32">
        <v>3.3</v>
      </c>
      <c r="E9" s="15"/>
      <c r="F9" s="18">
        <v>-2000000</v>
      </c>
      <c r="G9" s="32"/>
      <c r="H9" s="32">
        <f>+[1]Elpaso!$F9</f>
        <v>3.1589999999999998</v>
      </c>
      <c r="I9" s="17">
        <f>(-H9+D9)*F9</f>
        <v>-282000</v>
      </c>
      <c r="J9" s="41"/>
      <c r="K9" s="41">
        <f>+I9</f>
        <v>-282000</v>
      </c>
    </row>
    <row r="10" spans="1:11" x14ac:dyDescent="0.25">
      <c r="A10" s="31">
        <v>37438</v>
      </c>
      <c r="B10" s="15"/>
      <c r="C10" s="16" t="s">
        <v>104</v>
      </c>
      <c r="D10" s="32">
        <v>3.3</v>
      </c>
      <c r="E10" s="15"/>
      <c r="F10" s="18">
        <v>-3000000</v>
      </c>
      <c r="G10" s="32"/>
      <c r="H10" s="32">
        <f>+[1]Elpaso!$F10</f>
        <v>3.1469999999999998</v>
      </c>
      <c r="I10" s="17">
        <f>(-H10+D10)*F10</f>
        <v>-459000.00000000006</v>
      </c>
      <c r="J10" s="41"/>
      <c r="K10" s="41">
        <f>+I10</f>
        <v>-459000.00000000006</v>
      </c>
    </row>
    <row r="11" spans="1:11" x14ac:dyDescent="0.25">
      <c r="A11" s="31">
        <v>37469</v>
      </c>
      <c r="B11" s="15"/>
      <c r="C11" s="16" t="s">
        <v>104</v>
      </c>
      <c r="D11" s="32">
        <v>3.3</v>
      </c>
      <c r="E11" s="15"/>
      <c r="F11" s="18">
        <v>-3000000</v>
      </c>
      <c r="G11" s="15"/>
      <c r="H11" s="32">
        <f>+[1]Elpaso!$F11</f>
        <v>3.1519999999999997</v>
      </c>
      <c r="I11" s="17">
        <f>(-H11+D11)*F11</f>
        <v>-444000.00000000041</v>
      </c>
      <c r="J11" s="39"/>
      <c r="K11" s="41">
        <f>+I11</f>
        <v>-444000.00000000041</v>
      </c>
    </row>
    <row r="12" spans="1:11" x14ac:dyDescent="0.25">
      <c r="A12" s="31">
        <v>37500</v>
      </c>
      <c r="B12" s="15"/>
      <c r="C12" s="16" t="s">
        <v>104</v>
      </c>
      <c r="D12" s="32">
        <v>3.3</v>
      </c>
      <c r="E12" s="15"/>
      <c r="F12" s="18">
        <v>-3000000</v>
      </c>
      <c r="G12" s="15"/>
      <c r="H12" s="32">
        <f>+[1]Elpaso!$F12</f>
        <v>3.1549999999999998</v>
      </c>
      <c r="I12" s="17">
        <f>(-H12+D12)*F12</f>
        <v>-435000.00000000006</v>
      </c>
      <c r="J12" s="39"/>
      <c r="K12" s="41">
        <f>+I12</f>
        <v>-435000.00000000006</v>
      </c>
    </row>
    <row r="13" spans="1:11" x14ac:dyDescent="0.25">
      <c r="A13" s="31">
        <v>37530</v>
      </c>
      <c r="B13" s="15"/>
      <c r="C13" s="16" t="s">
        <v>104</v>
      </c>
      <c r="D13" s="32">
        <v>3.3</v>
      </c>
      <c r="E13" s="15"/>
      <c r="F13" s="18">
        <v>-4000000</v>
      </c>
      <c r="G13" s="15"/>
      <c r="H13" s="32">
        <f>+[1]Elpaso!$F13</f>
        <v>3.1849999999999996</v>
      </c>
      <c r="I13" s="17">
        <f>(-H13+D13)*F13</f>
        <v>-460000.00000000087</v>
      </c>
      <c r="J13" s="39"/>
      <c r="K13" s="41">
        <f>+I13</f>
        <v>-460000.00000000087</v>
      </c>
    </row>
    <row r="14" spans="1:11" x14ac:dyDescent="0.25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-2080000.0000000014</v>
      </c>
      <c r="J15" s="39"/>
      <c r="K15" s="17">
        <f>SUM(K9:K14)</f>
        <v>-2080000.0000000014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5">
      <c r="A17" s="31">
        <v>37408</v>
      </c>
      <c r="B17" s="15"/>
      <c r="C17" s="16" t="s">
        <v>85</v>
      </c>
      <c r="D17" s="32">
        <v>2.3199999999999998</v>
      </c>
      <c r="E17" s="15"/>
      <c r="F17" s="18">
        <v>-2000000</v>
      </c>
      <c r="G17" s="15"/>
      <c r="H17" s="32">
        <f>+[1]Elpaso!$F9</f>
        <v>3.1589999999999998</v>
      </c>
      <c r="I17" s="17">
        <f>(+H17-D17)*F17</f>
        <v>-1678000</v>
      </c>
      <c r="J17" s="39"/>
      <c r="K17" s="41">
        <f>+I17</f>
        <v>-1678000</v>
      </c>
    </row>
    <row r="18" spans="1:11" x14ac:dyDescent="0.25">
      <c r="A18" s="31">
        <v>37438</v>
      </c>
      <c r="B18" s="15"/>
      <c r="C18" s="16" t="s">
        <v>85</v>
      </c>
      <c r="D18" s="32">
        <v>2.3199999999999998</v>
      </c>
      <c r="E18" s="15"/>
      <c r="F18" s="18">
        <v>-3000000</v>
      </c>
      <c r="G18" s="15"/>
      <c r="H18" s="32">
        <f>+[1]Elpaso!$F10</f>
        <v>3.1469999999999998</v>
      </c>
      <c r="I18" s="17">
        <f>(+H18-D18)*F18</f>
        <v>-2481000</v>
      </c>
      <c r="J18" s="39"/>
      <c r="K18" s="41">
        <f>+I18</f>
        <v>-2481000</v>
      </c>
    </row>
    <row r="19" spans="1:11" x14ac:dyDescent="0.25">
      <c r="A19" s="31">
        <v>37469</v>
      </c>
      <c r="B19" s="15"/>
      <c r="C19" s="16" t="s">
        <v>85</v>
      </c>
      <c r="D19" s="32">
        <v>2.3199999999999998</v>
      </c>
      <c r="E19" s="15"/>
      <c r="F19" s="18">
        <v>-3000000</v>
      </c>
      <c r="G19" s="15"/>
      <c r="H19" s="32">
        <f>+[1]Elpaso!$F11</f>
        <v>3.1519999999999997</v>
      </c>
      <c r="I19" s="17">
        <f>(+H19-D19)*F19</f>
        <v>-2495999.9999999995</v>
      </c>
      <c r="J19" s="39"/>
      <c r="K19" s="41">
        <f>+I19</f>
        <v>-2495999.9999999995</v>
      </c>
    </row>
    <row r="20" spans="1:11" x14ac:dyDescent="0.25">
      <c r="A20" s="31">
        <v>37500</v>
      </c>
      <c r="B20" s="15"/>
      <c r="C20" s="16" t="s">
        <v>85</v>
      </c>
      <c r="D20" s="32">
        <v>2.3199999999999998</v>
      </c>
      <c r="E20" s="15"/>
      <c r="F20" s="18">
        <v>-3000000</v>
      </c>
      <c r="G20" s="15"/>
      <c r="H20" s="32">
        <f>+[1]Elpaso!$F12</f>
        <v>3.1549999999999998</v>
      </c>
      <c r="I20" s="17">
        <f>(+H20-D20)*F20</f>
        <v>-2505000</v>
      </c>
      <c r="J20" s="39"/>
      <c r="K20" s="41">
        <f>+I20</f>
        <v>-2505000</v>
      </c>
    </row>
    <row r="21" spans="1:11" x14ac:dyDescent="0.25">
      <c r="A21" s="31">
        <v>37530</v>
      </c>
      <c r="B21" s="15"/>
      <c r="C21" s="16" t="s">
        <v>85</v>
      </c>
      <c r="D21" s="32">
        <v>2.3199999999999998</v>
      </c>
      <c r="E21" s="15"/>
      <c r="F21" s="18">
        <v>-4000000</v>
      </c>
      <c r="G21" s="15"/>
      <c r="H21" s="32">
        <f>+[1]Elpaso!$F13</f>
        <v>3.1849999999999996</v>
      </c>
      <c r="I21" s="17">
        <f>(+H21-D21)*F21</f>
        <v>-3459999.9999999991</v>
      </c>
      <c r="J21" s="39"/>
      <c r="K21" s="41">
        <f>+I21</f>
        <v>-3459999.9999999991</v>
      </c>
    </row>
    <row r="22" spans="1:11" x14ac:dyDescent="0.25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-12620000</v>
      </c>
      <c r="J23" s="39"/>
      <c r="K23" s="17">
        <f>SUM(K17:K22)</f>
        <v>-12620000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32"/>
      <c r="G25" s="15"/>
      <c r="H25" s="32"/>
      <c r="I25" s="133">
        <f>+I23+I15</f>
        <v>-14700000.000000002</v>
      </c>
      <c r="J25" s="39"/>
      <c r="K25" s="133">
        <f>+K23+K15</f>
        <v>-14700000.000000002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51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36892</v>
      </c>
      <c r="B9" s="15"/>
      <c r="C9" s="16" t="s">
        <v>104</v>
      </c>
      <c r="D9" s="32">
        <v>3.23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191424.99999999997</v>
      </c>
      <c r="J9" s="41"/>
      <c r="K9" s="41">
        <f t="shared" ref="K9:K20" si="1">+I9</f>
        <v>191424.99999999997</v>
      </c>
    </row>
    <row r="10" spans="1:11" x14ac:dyDescent="0.25">
      <c r="A10" s="31">
        <v>36923</v>
      </c>
      <c r="B10" s="15"/>
      <c r="C10" s="16" t="s">
        <v>104</v>
      </c>
      <c r="D10" s="32">
        <v>3.23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135380</v>
      </c>
      <c r="J10" s="41"/>
      <c r="K10" s="41">
        <f t="shared" si="1"/>
        <v>135380</v>
      </c>
    </row>
    <row r="11" spans="1:11" x14ac:dyDescent="0.25">
      <c r="A11" s="31">
        <v>36951</v>
      </c>
      <c r="B11" s="15"/>
      <c r="C11" s="16" t="s">
        <v>104</v>
      </c>
      <c r="D11" s="32">
        <v>3.23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108345.00000000004</v>
      </c>
      <c r="J11" s="41"/>
      <c r="K11" s="41">
        <f t="shared" si="1"/>
        <v>108345.00000000004</v>
      </c>
    </row>
    <row r="12" spans="1:11" x14ac:dyDescent="0.25">
      <c r="A12" s="31">
        <v>36982</v>
      </c>
      <c r="B12" s="15"/>
      <c r="C12" s="16" t="s">
        <v>104</v>
      </c>
      <c r="D12" s="32">
        <v>3.23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71099.999999999956</v>
      </c>
      <c r="J12" s="41"/>
      <c r="K12" s="41">
        <f t="shared" si="1"/>
        <v>71099.999999999956</v>
      </c>
    </row>
    <row r="13" spans="1:11" x14ac:dyDescent="0.25">
      <c r="A13" s="31">
        <v>37012</v>
      </c>
      <c r="B13" s="15"/>
      <c r="C13" s="16" t="s">
        <v>104</v>
      </c>
      <c r="D13" s="32">
        <v>3.23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57195.000000000036</v>
      </c>
      <c r="J13" s="39"/>
      <c r="K13" s="41">
        <f t="shared" si="1"/>
        <v>57195.000000000036</v>
      </c>
    </row>
    <row r="14" spans="1:11" x14ac:dyDescent="0.25">
      <c r="A14" s="31">
        <v>37043</v>
      </c>
      <c r="B14" s="15"/>
      <c r="C14" s="16" t="s">
        <v>104</v>
      </c>
      <c r="D14" s="32">
        <v>3.23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51599.999999999978</v>
      </c>
      <c r="J14" s="39"/>
      <c r="K14" s="41">
        <f t="shared" si="1"/>
        <v>51599.999999999978</v>
      </c>
    </row>
    <row r="15" spans="1:11" x14ac:dyDescent="0.25">
      <c r="A15" s="31">
        <v>37073</v>
      </c>
      <c r="B15" s="15"/>
      <c r="C15" s="16" t="s">
        <v>104</v>
      </c>
      <c r="D15" s="32">
        <v>3.23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50995.000000000029</v>
      </c>
      <c r="J15" s="39"/>
      <c r="K15" s="41">
        <f t="shared" si="1"/>
        <v>50995.000000000029</v>
      </c>
    </row>
    <row r="16" spans="1:11" x14ac:dyDescent="0.25">
      <c r="A16" s="31">
        <v>37104</v>
      </c>
      <c r="B16" s="15"/>
      <c r="C16" s="16" t="s">
        <v>104</v>
      </c>
      <c r="D16" s="32">
        <v>3.23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51770.000000000015</v>
      </c>
      <c r="J16" s="39"/>
      <c r="K16" s="41">
        <f t="shared" si="1"/>
        <v>51770.000000000015</v>
      </c>
    </row>
    <row r="17" spans="1:11" x14ac:dyDescent="0.25">
      <c r="A17" s="31">
        <v>37135</v>
      </c>
      <c r="B17" s="15"/>
      <c r="C17" s="16" t="s">
        <v>104</v>
      </c>
      <c r="D17" s="32">
        <v>3.23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47099.999999999942</v>
      </c>
      <c r="J17" s="39"/>
      <c r="K17" s="41">
        <f t="shared" si="1"/>
        <v>47099.999999999942</v>
      </c>
    </row>
    <row r="18" spans="1:11" x14ac:dyDescent="0.25">
      <c r="A18" s="31">
        <v>37165</v>
      </c>
      <c r="B18" s="15"/>
      <c r="C18" s="16" t="s">
        <v>104</v>
      </c>
      <c r="D18" s="32">
        <v>3.23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46344.999999999993</v>
      </c>
      <c r="J18" s="39"/>
      <c r="K18" s="41">
        <f t="shared" si="1"/>
        <v>46344.999999999993</v>
      </c>
    </row>
    <row r="19" spans="1:11" x14ac:dyDescent="0.25">
      <c r="A19" s="31">
        <v>37196</v>
      </c>
      <c r="B19" s="15"/>
      <c r="C19" s="16" t="s">
        <v>104</v>
      </c>
      <c r="D19" s="32">
        <v>3.23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57599.999999999985</v>
      </c>
      <c r="J19" s="39"/>
      <c r="K19" s="41">
        <f t="shared" si="1"/>
        <v>57599.999999999985</v>
      </c>
    </row>
    <row r="20" spans="1:11" x14ac:dyDescent="0.25">
      <c r="A20" s="31">
        <v>37226</v>
      </c>
      <c r="B20" s="15"/>
      <c r="C20" s="16" t="s">
        <v>104</v>
      </c>
      <c r="D20" s="32">
        <v>3.23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73470.000000000029</v>
      </c>
      <c r="J20" s="39"/>
      <c r="K20" s="41">
        <f t="shared" si="1"/>
        <v>73470.000000000029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942325</v>
      </c>
      <c r="J22" s="35">
        <f>SUM(J9:J20)</f>
        <v>0</v>
      </c>
      <c r="K22" s="35">
        <f>SUM(K9:K20)</f>
        <v>942325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48</v>
      </c>
      <c r="D26" s="32">
        <v>3.23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-186129.16666666666</v>
      </c>
      <c r="J26" s="41"/>
      <c r="K26" s="41">
        <f t="shared" ref="K26:K37" si="2">+I26</f>
        <v>-186129.16666666666</v>
      </c>
    </row>
    <row r="27" spans="1:11" x14ac:dyDescent="0.25">
      <c r="A27" s="31">
        <v>36923</v>
      </c>
      <c r="B27" s="15"/>
      <c r="C27" s="16" t="s">
        <v>48</v>
      </c>
      <c r="D27" s="32">
        <v>3.23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-130363.3333333333</v>
      </c>
      <c r="J27" s="41"/>
      <c r="K27" s="41">
        <f t="shared" si="2"/>
        <v>-130363.3333333333</v>
      </c>
    </row>
    <row r="28" spans="1:11" x14ac:dyDescent="0.25">
      <c r="A28" s="31">
        <v>36951</v>
      </c>
      <c r="B28" s="15"/>
      <c r="C28" s="16" t="s">
        <v>48</v>
      </c>
      <c r="D28" s="32">
        <v>3.23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-99303.333333333416</v>
      </c>
      <c r="J28" s="41"/>
      <c r="K28" s="41">
        <f t="shared" si="2"/>
        <v>-99303.333333333416</v>
      </c>
    </row>
    <row r="29" spans="1:11" x14ac:dyDescent="0.25">
      <c r="A29" s="31">
        <v>36982</v>
      </c>
      <c r="B29" s="15"/>
      <c r="C29" s="16" t="s">
        <v>48</v>
      </c>
      <c r="D29" s="32">
        <v>3.23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-59224.999999999971</v>
      </c>
      <c r="J29" s="41"/>
      <c r="K29" s="41">
        <f t="shared" si="2"/>
        <v>-59224.999999999971</v>
      </c>
    </row>
    <row r="30" spans="1:11" x14ac:dyDescent="0.25">
      <c r="A30" s="31">
        <v>37012</v>
      </c>
      <c r="B30" s="15"/>
      <c r="C30" s="16" t="s">
        <v>48</v>
      </c>
      <c r="D30" s="32">
        <v>3.23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-44924.166666666642</v>
      </c>
      <c r="J30" s="39"/>
      <c r="K30" s="41">
        <f t="shared" si="2"/>
        <v>-44924.166666666642</v>
      </c>
    </row>
    <row r="31" spans="1:11" x14ac:dyDescent="0.25">
      <c r="A31" s="31">
        <v>37043</v>
      </c>
      <c r="B31" s="15"/>
      <c r="C31" s="16" t="s">
        <v>48</v>
      </c>
      <c r="D31" s="32">
        <v>3.23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-39725.000000000058</v>
      </c>
      <c r="J31" s="39"/>
      <c r="K31" s="41">
        <f t="shared" si="2"/>
        <v>-39725.000000000058</v>
      </c>
    </row>
    <row r="32" spans="1:11" x14ac:dyDescent="0.25">
      <c r="A32" s="31">
        <v>37073</v>
      </c>
      <c r="B32" s="15"/>
      <c r="C32" s="16" t="s">
        <v>48</v>
      </c>
      <c r="D32" s="32">
        <v>3.23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-38724.166666666635</v>
      </c>
      <c r="J32" s="39"/>
      <c r="K32" s="41">
        <f t="shared" si="2"/>
        <v>-38724.166666666635</v>
      </c>
    </row>
    <row r="33" spans="1:11" x14ac:dyDescent="0.25">
      <c r="A33" s="31">
        <v>37104</v>
      </c>
      <c r="B33" s="15"/>
      <c r="C33" s="16" t="s">
        <v>48</v>
      </c>
      <c r="D33" s="32">
        <v>3.23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-39499.166666666621</v>
      </c>
      <c r="J33" s="39"/>
      <c r="K33" s="41">
        <f t="shared" si="2"/>
        <v>-39499.166666666621</v>
      </c>
    </row>
    <row r="34" spans="1:11" x14ac:dyDescent="0.25">
      <c r="A34" s="31">
        <v>37135</v>
      </c>
      <c r="B34" s="15"/>
      <c r="C34" s="16" t="s">
        <v>48</v>
      </c>
      <c r="D34" s="32">
        <v>3.23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-35224.999999999949</v>
      </c>
      <c r="J34" s="39"/>
      <c r="K34" s="41">
        <f t="shared" si="2"/>
        <v>-35224.999999999949</v>
      </c>
    </row>
    <row r="35" spans="1:11" x14ac:dyDescent="0.25">
      <c r="A35" s="31">
        <v>37165</v>
      </c>
      <c r="B35" s="15"/>
      <c r="C35" s="16" t="s">
        <v>48</v>
      </c>
      <c r="D35" s="32">
        <v>3.23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-34074.166666666599</v>
      </c>
      <c r="J35" s="39"/>
      <c r="K35" s="41">
        <f t="shared" si="2"/>
        <v>-34074.166666666599</v>
      </c>
    </row>
    <row r="36" spans="1:11" x14ac:dyDescent="0.25">
      <c r="A36" s="31">
        <v>37196</v>
      </c>
      <c r="B36" s="15"/>
      <c r="C36" s="16" t="s">
        <v>48</v>
      </c>
      <c r="D36" s="32">
        <v>3.23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-52599.999999999935</v>
      </c>
      <c r="J36" s="39"/>
      <c r="K36" s="41">
        <f t="shared" si="2"/>
        <v>-52599.999999999935</v>
      </c>
    </row>
    <row r="37" spans="1:11" x14ac:dyDescent="0.25">
      <c r="A37" s="31">
        <v>37226</v>
      </c>
      <c r="B37" s="15"/>
      <c r="C37" s="16" t="s">
        <v>48</v>
      </c>
      <c r="D37" s="32">
        <v>3.23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-68303.333333333387</v>
      </c>
      <c r="J37" s="39"/>
      <c r="K37" s="41">
        <f t="shared" si="2"/>
        <v>-68303.333333333387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-828095.83333333314</v>
      </c>
      <c r="J39" s="33">
        <f>SUM(J26:J38)</f>
        <v>0</v>
      </c>
      <c r="K39" s="33">
        <f>SUM(K26:K38)</f>
        <v>-828095.83333333314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36892</v>
      </c>
      <c r="B9" s="15"/>
      <c r="C9" s="16" t="s">
        <v>107</v>
      </c>
      <c r="D9" s="32">
        <v>0.1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>-F9*D9</f>
        <v>15500</v>
      </c>
      <c r="J9" s="41"/>
      <c r="K9" s="41">
        <f t="shared" ref="K9:K20" si="0">+I9</f>
        <v>15500</v>
      </c>
    </row>
    <row r="10" spans="1:11" x14ac:dyDescent="0.25">
      <c r="A10" s="31">
        <v>36923</v>
      </c>
      <c r="B10" s="15"/>
      <c r="C10" s="16" t="s">
        <v>107</v>
      </c>
      <c r="D10" s="32">
        <v>0.1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ref="I10:I20" si="1">-F10*D10</f>
        <v>14000</v>
      </c>
      <c r="J10" s="41"/>
      <c r="K10" s="41">
        <f t="shared" si="0"/>
        <v>14000</v>
      </c>
    </row>
    <row r="11" spans="1:11" x14ac:dyDescent="0.25">
      <c r="A11" s="31">
        <v>36951</v>
      </c>
      <c r="B11" s="15"/>
      <c r="C11" s="16" t="s">
        <v>107</v>
      </c>
      <c r="D11" s="32">
        <v>0.1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1"/>
        <v>15500</v>
      </c>
      <c r="J11" s="41"/>
      <c r="K11" s="41">
        <f t="shared" si="0"/>
        <v>15500</v>
      </c>
    </row>
    <row r="12" spans="1:11" x14ac:dyDescent="0.25">
      <c r="A12" s="31">
        <v>36982</v>
      </c>
      <c r="B12" s="15"/>
      <c r="C12" s="16" t="s">
        <v>107</v>
      </c>
      <c r="D12" s="32">
        <v>0.1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1"/>
        <v>15000</v>
      </c>
      <c r="J12" s="41"/>
      <c r="K12" s="41">
        <f t="shared" si="0"/>
        <v>15000</v>
      </c>
    </row>
    <row r="13" spans="1:11" x14ac:dyDescent="0.25">
      <c r="A13" s="31">
        <v>37012</v>
      </c>
      <c r="B13" s="15"/>
      <c r="C13" s="16" t="s">
        <v>107</v>
      </c>
      <c r="D13" s="32">
        <v>0.1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1"/>
        <v>15500</v>
      </c>
      <c r="J13" s="39"/>
      <c r="K13" s="41">
        <f t="shared" si="0"/>
        <v>15500</v>
      </c>
    </row>
    <row r="14" spans="1:11" x14ac:dyDescent="0.25">
      <c r="A14" s="31">
        <v>37043</v>
      </c>
      <c r="B14" s="15"/>
      <c r="C14" s="16" t="s">
        <v>107</v>
      </c>
      <c r="D14" s="32">
        <v>0.1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1"/>
        <v>15000</v>
      </c>
      <c r="J14" s="39"/>
      <c r="K14" s="41">
        <f t="shared" si="0"/>
        <v>15000</v>
      </c>
    </row>
    <row r="15" spans="1:11" x14ac:dyDescent="0.25">
      <c r="A15" s="31">
        <v>37073</v>
      </c>
      <c r="B15" s="15"/>
      <c r="C15" s="16" t="s">
        <v>107</v>
      </c>
      <c r="D15" s="32">
        <v>0.1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1"/>
        <v>15500</v>
      </c>
      <c r="J15" s="39"/>
      <c r="K15" s="41">
        <f t="shared" si="0"/>
        <v>15500</v>
      </c>
    </row>
    <row r="16" spans="1:11" x14ac:dyDescent="0.25">
      <c r="A16" s="31">
        <v>37104</v>
      </c>
      <c r="B16" s="15"/>
      <c r="C16" s="16" t="s">
        <v>107</v>
      </c>
      <c r="D16" s="32">
        <v>0.1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1"/>
        <v>15500</v>
      </c>
      <c r="J16" s="39"/>
      <c r="K16" s="41">
        <f t="shared" si="0"/>
        <v>15500</v>
      </c>
    </row>
    <row r="17" spans="1:11" x14ac:dyDescent="0.25">
      <c r="A17" s="31">
        <v>37135</v>
      </c>
      <c r="B17" s="15"/>
      <c r="C17" s="16" t="s">
        <v>107</v>
      </c>
      <c r="D17" s="32">
        <v>0.1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1"/>
        <v>15000</v>
      </c>
      <c r="J17" s="39"/>
      <c r="K17" s="41">
        <f t="shared" si="0"/>
        <v>15000</v>
      </c>
    </row>
    <row r="18" spans="1:11" x14ac:dyDescent="0.25">
      <c r="A18" s="31">
        <v>37165</v>
      </c>
      <c r="B18" s="15"/>
      <c r="C18" s="16" t="s">
        <v>107</v>
      </c>
      <c r="D18" s="32">
        <v>0.1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1"/>
        <v>15500</v>
      </c>
      <c r="J18" s="39"/>
      <c r="K18" s="41">
        <f t="shared" si="0"/>
        <v>15500</v>
      </c>
    </row>
    <row r="19" spans="1:11" x14ac:dyDescent="0.25">
      <c r="A19" s="31">
        <v>37196</v>
      </c>
      <c r="B19" s="15"/>
      <c r="C19" s="16" t="s">
        <v>107</v>
      </c>
      <c r="D19" s="32">
        <v>0.1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1"/>
        <v>15000</v>
      </c>
      <c r="J19" s="39"/>
      <c r="K19" s="41">
        <f t="shared" si="0"/>
        <v>15000</v>
      </c>
    </row>
    <row r="20" spans="1:11" x14ac:dyDescent="0.25">
      <c r="A20" s="31">
        <v>37226</v>
      </c>
      <c r="B20" s="15"/>
      <c r="C20" s="16" t="s">
        <v>107</v>
      </c>
      <c r="D20" s="32">
        <v>0.1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1"/>
        <v>15500</v>
      </c>
      <c r="J20" s="39"/>
      <c r="K20" s="41">
        <f t="shared" si="0"/>
        <v>15500</v>
      </c>
    </row>
    <row r="21" spans="1:11" x14ac:dyDescent="0.25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72"/>
      <c r="I22" s="35">
        <f>SUM(I9:I20)</f>
        <v>182500</v>
      </c>
      <c r="J22" s="35">
        <f>SUM(J9:J20)</f>
        <v>0</v>
      </c>
      <c r="K22" s="35">
        <f>SUM(K9:K20)</f>
        <v>182500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48</v>
      </c>
      <c r="D26" s="32">
        <v>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-221779.16666666666</v>
      </c>
      <c r="J26" s="41"/>
      <c r="K26" s="41">
        <f t="shared" ref="K26:K37" si="2">+I26</f>
        <v>-221779.16666666666</v>
      </c>
    </row>
    <row r="27" spans="1:11" x14ac:dyDescent="0.25">
      <c r="A27" s="31">
        <v>36923</v>
      </c>
      <c r="B27" s="15"/>
      <c r="C27" s="16" t="s">
        <v>48</v>
      </c>
      <c r="D27" s="32">
        <v>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-162563.33333333331</v>
      </c>
      <c r="J27" s="41"/>
      <c r="K27" s="41">
        <f t="shared" si="2"/>
        <v>-162563.33333333331</v>
      </c>
    </row>
    <row r="28" spans="1:11" x14ac:dyDescent="0.25">
      <c r="A28" s="31">
        <v>36951</v>
      </c>
      <c r="B28" s="15"/>
      <c r="C28" s="16" t="s">
        <v>48</v>
      </c>
      <c r="D28" s="32">
        <v>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-134953.3333333334</v>
      </c>
      <c r="J28" s="41"/>
      <c r="K28" s="41">
        <f t="shared" si="2"/>
        <v>-134953.3333333334</v>
      </c>
    </row>
    <row r="29" spans="1:11" x14ac:dyDescent="0.25">
      <c r="A29" s="31">
        <v>36982</v>
      </c>
      <c r="B29" s="15"/>
      <c r="C29" s="16" t="s">
        <v>48</v>
      </c>
      <c r="D29" s="32">
        <v>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-93724.999999999971</v>
      </c>
      <c r="J29" s="41"/>
      <c r="K29" s="41">
        <f t="shared" si="2"/>
        <v>-93724.999999999971</v>
      </c>
    </row>
    <row r="30" spans="1:11" x14ac:dyDescent="0.25">
      <c r="A30" s="31">
        <v>37012</v>
      </c>
      <c r="B30" s="15"/>
      <c r="C30" s="16" t="s">
        <v>48</v>
      </c>
      <c r="D30" s="32">
        <v>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-80574.166666666642</v>
      </c>
      <c r="J30" s="39"/>
      <c r="K30" s="41">
        <f t="shared" si="2"/>
        <v>-80574.166666666642</v>
      </c>
    </row>
    <row r="31" spans="1:11" x14ac:dyDescent="0.25">
      <c r="A31" s="31">
        <v>37043</v>
      </c>
      <c r="B31" s="15"/>
      <c r="C31" s="16" t="s">
        <v>48</v>
      </c>
      <c r="D31" s="32">
        <v>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-74225.000000000058</v>
      </c>
      <c r="J31" s="39"/>
      <c r="K31" s="41">
        <f t="shared" si="2"/>
        <v>-74225.000000000058</v>
      </c>
    </row>
    <row r="32" spans="1:11" x14ac:dyDescent="0.25">
      <c r="A32" s="31">
        <v>37073</v>
      </c>
      <c r="B32" s="15"/>
      <c r="C32" s="16" t="s">
        <v>48</v>
      </c>
      <c r="D32" s="32">
        <v>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-74374.166666666628</v>
      </c>
      <c r="J32" s="39"/>
      <c r="K32" s="41">
        <f t="shared" si="2"/>
        <v>-74374.166666666628</v>
      </c>
    </row>
    <row r="33" spans="1:11" x14ac:dyDescent="0.25">
      <c r="A33" s="31">
        <v>37104</v>
      </c>
      <c r="B33" s="15"/>
      <c r="C33" s="16" t="s">
        <v>48</v>
      </c>
      <c r="D33" s="32">
        <v>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-75149.166666666613</v>
      </c>
      <c r="J33" s="39"/>
      <c r="K33" s="41">
        <f t="shared" si="2"/>
        <v>-75149.166666666613</v>
      </c>
    </row>
    <row r="34" spans="1:11" x14ac:dyDescent="0.25">
      <c r="A34" s="31">
        <v>37135</v>
      </c>
      <c r="B34" s="15"/>
      <c r="C34" s="16" t="s">
        <v>48</v>
      </c>
      <c r="D34" s="32">
        <v>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-69724.999999999942</v>
      </c>
      <c r="J34" s="39"/>
      <c r="K34" s="41">
        <f t="shared" si="2"/>
        <v>-69724.999999999942</v>
      </c>
    </row>
    <row r="35" spans="1:11" x14ac:dyDescent="0.25">
      <c r="A35" s="31">
        <v>37165</v>
      </c>
      <c r="B35" s="15"/>
      <c r="C35" s="16" t="s">
        <v>48</v>
      </c>
      <c r="D35" s="32">
        <v>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-69724.166666666599</v>
      </c>
      <c r="J35" s="39"/>
      <c r="K35" s="41">
        <f t="shared" si="2"/>
        <v>-69724.166666666599</v>
      </c>
    </row>
    <row r="36" spans="1:11" x14ac:dyDescent="0.25">
      <c r="A36" s="31">
        <v>37196</v>
      </c>
      <c r="B36" s="15"/>
      <c r="C36" s="16" t="s">
        <v>48</v>
      </c>
      <c r="D36" s="32">
        <v>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-87099.999999999927</v>
      </c>
      <c r="J36" s="39"/>
      <c r="K36" s="41">
        <f t="shared" si="2"/>
        <v>-87099.999999999927</v>
      </c>
    </row>
    <row r="37" spans="1:11" x14ac:dyDescent="0.25">
      <c r="A37" s="31">
        <v>37226</v>
      </c>
      <c r="B37" s="15"/>
      <c r="C37" s="16" t="s">
        <v>48</v>
      </c>
      <c r="D37" s="32">
        <v>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-103953.33333333339</v>
      </c>
      <c r="J37" s="39"/>
      <c r="K37" s="41">
        <f t="shared" si="2"/>
        <v>-103953.33333333339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-1247845.8333333333</v>
      </c>
      <c r="J39" s="33">
        <f>SUM(J26:J38)</f>
        <v>0</v>
      </c>
      <c r="K39" s="33">
        <f>SUM(K26:K38)</f>
        <v>-1247845.8333333333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-1065345.8333333333</v>
      </c>
      <c r="J41" s="34">
        <f>+J39+J22</f>
        <v>0</v>
      </c>
      <c r="K41" s="34">
        <f>+K39+K22</f>
        <v>-1065345.8333333333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36892</v>
      </c>
      <c r="B9" s="15"/>
      <c r="C9" s="16" t="s">
        <v>104</v>
      </c>
      <c r="D9" s="32">
        <v>3.74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112374.99999999994</v>
      </c>
      <c r="J9" s="41"/>
      <c r="K9" s="41">
        <f t="shared" ref="K9:K20" si="1">+I9</f>
        <v>112374.99999999994</v>
      </c>
    </row>
    <row r="10" spans="1:11" x14ac:dyDescent="0.25">
      <c r="A10" s="31">
        <v>36923</v>
      </c>
      <c r="B10" s="15"/>
      <c r="C10" s="16" t="s">
        <v>104</v>
      </c>
      <c r="D10" s="32">
        <v>3.74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63979.999999999978</v>
      </c>
      <c r="J10" s="41"/>
      <c r="K10" s="41">
        <f t="shared" si="1"/>
        <v>63979.999999999978</v>
      </c>
    </row>
    <row r="11" spans="1:11" x14ac:dyDescent="0.25">
      <c r="A11" s="31">
        <v>36951</v>
      </c>
      <c r="B11" s="15"/>
      <c r="C11" s="16" t="s">
        <v>104</v>
      </c>
      <c r="D11" s="32">
        <v>3.74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29295.000000000007</v>
      </c>
      <c r="J11" s="41"/>
      <c r="K11" s="41">
        <f t="shared" si="1"/>
        <v>29295.000000000007</v>
      </c>
    </row>
    <row r="12" spans="1:11" x14ac:dyDescent="0.25">
      <c r="A12" s="31">
        <v>36982</v>
      </c>
      <c r="B12" s="15"/>
      <c r="C12" s="16" t="s">
        <v>104</v>
      </c>
      <c r="D12" s="32">
        <v>3.74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-5400.0000000000719</v>
      </c>
      <c r="J12" s="41"/>
      <c r="K12" s="41">
        <f t="shared" si="1"/>
        <v>-5400.0000000000719</v>
      </c>
    </row>
    <row r="13" spans="1:11" x14ac:dyDescent="0.25">
      <c r="A13" s="31">
        <v>37012</v>
      </c>
      <c r="B13" s="15"/>
      <c r="C13" s="16" t="s">
        <v>104</v>
      </c>
      <c r="D13" s="32">
        <v>3.74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-21855.000000000004</v>
      </c>
      <c r="J13" s="39"/>
      <c r="K13" s="41">
        <f t="shared" si="1"/>
        <v>-21855.000000000004</v>
      </c>
    </row>
    <row r="14" spans="1:11" x14ac:dyDescent="0.25">
      <c r="A14" s="31">
        <v>37043</v>
      </c>
      <c r="B14" s="15"/>
      <c r="C14" s="16" t="s">
        <v>104</v>
      </c>
      <c r="D14" s="32">
        <v>3.74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-24900.000000000055</v>
      </c>
      <c r="J14" s="39"/>
      <c r="K14" s="41">
        <f t="shared" si="1"/>
        <v>-24900.000000000055</v>
      </c>
    </row>
    <row r="15" spans="1:11" x14ac:dyDescent="0.25">
      <c r="A15" s="31">
        <v>37073</v>
      </c>
      <c r="B15" s="15"/>
      <c r="C15" s="16" t="s">
        <v>104</v>
      </c>
      <c r="D15" s="32">
        <v>3.74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-28055.000000000007</v>
      </c>
      <c r="J15" s="39"/>
      <c r="K15" s="41">
        <f t="shared" si="1"/>
        <v>-28055.000000000007</v>
      </c>
    </row>
    <row r="16" spans="1:11" x14ac:dyDescent="0.25">
      <c r="A16" s="31">
        <v>37104</v>
      </c>
      <c r="B16" s="15"/>
      <c r="C16" s="16" t="s">
        <v>104</v>
      </c>
      <c r="D16" s="32">
        <v>3.74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-27280.000000000025</v>
      </c>
      <c r="J16" s="39"/>
      <c r="K16" s="41">
        <f t="shared" si="1"/>
        <v>-27280.000000000025</v>
      </c>
    </row>
    <row r="17" spans="1:11" x14ac:dyDescent="0.25">
      <c r="A17" s="31">
        <v>37135</v>
      </c>
      <c r="B17" s="15"/>
      <c r="C17" s="16" t="s">
        <v>104</v>
      </c>
      <c r="D17" s="32">
        <v>3.74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-29400.000000000091</v>
      </c>
      <c r="J17" s="39"/>
      <c r="K17" s="41">
        <f t="shared" si="1"/>
        <v>-29400.000000000091</v>
      </c>
    </row>
    <row r="18" spans="1:11" x14ac:dyDescent="0.25">
      <c r="A18" s="31">
        <v>37165</v>
      </c>
      <c r="B18" s="15"/>
      <c r="C18" s="16" t="s">
        <v>104</v>
      </c>
      <c r="D18" s="32">
        <v>3.74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-32705.000000000047</v>
      </c>
      <c r="J18" s="39"/>
      <c r="K18" s="41">
        <f t="shared" si="1"/>
        <v>-32705.000000000047</v>
      </c>
    </row>
    <row r="19" spans="1:11" x14ac:dyDescent="0.25">
      <c r="A19" s="31">
        <v>37196</v>
      </c>
      <c r="B19" s="15"/>
      <c r="C19" s="16" t="s">
        <v>104</v>
      </c>
      <c r="D19" s="32">
        <v>3.74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-18900.000000000051</v>
      </c>
      <c r="J19" s="39"/>
      <c r="K19" s="41">
        <f t="shared" si="1"/>
        <v>-18900.000000000051</v>
      </c>
    </row>
    <row r="20" spans="1:11" x14ac:dyDescent="0.25">
      <c r="A20" s="31">
        <v>37226</v>
      </c>
      <c r="B20" s="15"/>
      <c r="C20" s="16" t="s">
        <v>104</v>
      </c>
      <c r="D20" s="32">
        <v>3.74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-5580.0000000000045</v>
      </c>
      <c r="J20" s="39"/>
      <c r="K20" s="41">
        <f t="shared" si="1"/>
        <v>-5580.0000000000045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11574.999999999582</v>
      </c>
      <c r="J22" s="35">
        <f>SUM(J9:J20)</f>
        <v>0</v>
      </c>
      <c r="K22" s="35">
        <f>SUM(K9:K20)</f>
        <v>11574.999999999582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48</v>
      </c>
      <c r="D26" s="32">
        <v>3.74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-107079.16666666661</v>
      </c>
      <c r="J26" s="41"/>
      <c r="K26" s="41">
        <f t="shared" ref="K26:K37" si="2">+I26</f>
        <v>-107079.16666666661</v>
      </c>
    </row>
    <row r="27" spans="1:11" x14ac:dyDescent="0.25">
      <c r="A27" s="31">
        <v>36923</v>
      </c>
      <c r="B27" s="15"/>
      <c r="C27" s="16" t="s">
        <v>48</v>
      </c>
      <c r="D27" s="32">
        <v>3.74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-58963.333333333278</v>
      </c>
      <c r="J27" s="41"/>
      <c r="K27" s="41">
        <f t="shared" si="2"/>
        <v>-58963.333333333278</v>
      </c>
    </row>
    <row r="28" spans="1:11" x14ac:dyDescent="0.25">
      <c r="A28" s="31">
        <v>36951</v>
      </c>
      <c r="B28" s="15"/>
      <c r="C28" s="16" t="s">
        <v>48</v>
      </c>
      <c r="D28" s="32">
        <v>3.74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-20253.333333333376</v>
      </c>
      <c r="J28" s="41"/>
      <c r="K28" s="41">
        <f t="shared" si="2"/>
        <v>-20253.333333333376</v>
      </c>
    </row>
    <row r="29" spans="1:11" x14ac:dyDescent="0.25">
      <c r="A29" s="31">
        <v>36982</v>
      </c>
      <c r="B29" s="15"/>
      <c r="C29" s="16" t="s">
        <v>48</v>
      </c>
      <c r="D29" s="32">
        <v>3.74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17275.000000000062</v>
      </c>
      <c r="J29" s="41"/>
      <c r="K29" s="41">
        <f t="shared" si="2"/>
        <v>17275.000000000062</v>
      </c>
    </row>
    <row r="30" spans="1:11" x14ac:dyDescent="0.25">
      <c r="A30" s="31">
        <v>37012</v>
      </c>
      <c r="B30" s="15"/>
      <c r="C30" s="16" t="s">
        <v>48</v>
      </c>
      <c r="D30" s="32">
        <v>3.74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34125.833333333394</v>
      </c>
      <c r="J30" s="39"/>
      <c r="K30" s="41">
        <f t="shared" si="2"/>
        <v>34125.833333333394</v>
      </c>
    </row>
    <row r="31" spans="1:11" x14ac:dyDescent="0.25">
      <c r="A31" s="31">
        <v>37043</v>
      </c>
      <c r="B31" s="15"/>
      <c r="C31" s="16" t="s">
        <v>48</v>
      </c>
      <c r="D31" s="32">
        <v>3.74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36774.999999999978</v>
      </c>
      <c r="J31" s="39"/>
      <c r="K31" s="41">
        <f t="shared" si="2"/>
        <v>36774.999999999978</v>
      </c>
    </row>
    <row r="32" spans="1:11" x14ac:dyDescent="0.25">
      <c r="A32" s="31">
        <v>37073</v>
      </c>
      <c r="B32" s="15"/>
      <c r="C32" s="16" t="s">
        <v>48</v>
      </c>
      <c r="D32" s="32">
        <v>3.74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40325.833333333401</v>
      </c>
      <c r="J32" s="39"/>
      <c r="K32" s="41">
        <f t="shared" si="2"/>
        <v>40325.833333333401</v>
      </c>
    </row>
    <row r="33" spans="1:11" x14ac:dyDescent="0.25">
      <c r="A33" s="31">
        <v>37104</v>
      </c>
      <c r="B33" s="15"/>
      <c r="C33" s="16" t="s">
        <v>48</v>
      </c>
      <c r="D33" s="32">
        <v>3.74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39550.833333333416</v>
      </c>
      <c r="J33" s="39"/>
      <c r="K33" s="41">
        <f t="shared" si="2"/>
        <v>39550.833333333416</v>
      </c>
    </row>
    <row r="34" spans="1:11" x14ac:dyDescent="0.25">
      <c r="A34" s="31">
        <v>37135</v>
      </c>
      <c r="B34" s="15"/>
      <c r="C34" s="16" t="s">
        <v>48</v>
      </c>
      <c r="D34" s="32">
        <v>3.74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41275.000000000087</v>
      </c>
      <c r="J34" s="39"/>
      <c r="K34" s="41">
        <f t="shared" si="2"/>
        <v>41275.000000000087</v>
      </c>
    </row>
    <row r="35" spans="1:11" x14ac:dyDescent="0.25">
      <c r="A35" s="31">
        <v>37165</v>
      </c>
      <c r="B35" s="15"/>
      <c r="C35" s="16" t="s">
        <v>48</v>
      </c>
      <c r="D35" s="32">
        <v>3.74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44975.833333333438</v>
      </c>
      <c r="J35" s="39"/>
      <c r="K35" s="41">
        <f t="shared" si="2"/>
        <v>44975.833333333438</v>
      </c>
    </row>
    <row r="36" spans="1:11" x14ac:dyDescent="0.25">
      <c r="A36" s="31">
        <v>37196</v>
      </c>
      <c r="B36" s="15"/>
      <c r="C36" s="16" t="s">
        <v>48</v>
      </c>
      <c r="D36" s="32">
        <v>3.74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23900.000000000098</v>
      </c>
      <c r="J36" s="39"/>
      <c r="K36" s="41">
        <f t="shared" si="2"/>
        <v>23900.000000000098</v>
      </c>
    </row>
    <row r="37" spans="1:11" x14ac:dyDescent="0.25">
      <c r="A37" s="31">
        <v>37226</v>
      </c>
      <c r="B37" s="15"/>
      <c r="C37" s="16" t="s">
        <v>48</v>
      </c>
      <c r="D37" s="32">
        <v>3.74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10746.666666666653</v>
      </c>
      <c r="J37" s="39"/>
      <c r="K37" s="41">
        <f t="shared" si="2"/>
        <v>10746.666666666653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102654.16666666728</v>
      </c>
      <c r="J39" s="33">
        <f>SUM(J26:J38)</f>
        <v>0</v>
      </c>
      <c r="K39" s="33">
        <f>SUM(K26:K38)</f>
        <v>102654.16666666728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36892</v>
      </c>
      <c r="B9" s="15"/>
      <c r="C9" s="16" t="s">
        <v>104</v>
      </c>
      <c r="D9" s="32">
        <v>3.63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129425</v>
      </c>
      <c r="J9" s="41"/>
      <c r="K9" s="41">
        <f t="shared" ref="K9:K20" si="1">+I9</f>
        <v>129425</v>
      </c>
    </row>
    <row r="10" spans="1:11" x14ac:dyDescent="0.25">
      <c r="A10" s="31">
        <v>36923</v>
      </c>
      <c r="B10" s="15"/>
      <c r="C10" s="16" t="s">
        <v>104</v>
      </c>
      <c r="D10" s="32">
        <v>3.63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79380.000000000029</v>
      </c>
      <c r="J10" s="41"/>
      <c r="K10" s="41">
        <f t="shared" si="1"/>
        <v>79380.000000000029</v>
      </c>
    </row>
    <row r="11" spans="1:11" x14ac:dyDescent="0.25">
      <c r="A11" s="31">
        <v>36951</v>
      </c>
      <c r="B11" s="15"/>
      <c r="C11" s="16" t="s">
        <v>104</v>
      </c>
      <c r="D11" s="32">
        <v>3.63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46345.000000000058</v>
      </c>
      <c r="J11" s="41"/>
      <c r="K11" s="41">
        <f t="shared" si="1"/>
        <v>46345.000000000058</v>
      </c>
    </row>
    <row r="12" spans="1:11" x14ac:dyDescent="0.25">
      <c r="A12" s="31">
        <v>36982</v>
      </c>
      <c r="B12" s="15"/>
      <c r="C12" s="16" t="s">
        <v>104</v>
      </c>
      <c r="D12" s="32">
        <v>3.63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11099.999999999976</v>
      </c>
      <c r="J12" s="41"/>
      <c r="K12" s="41">
        <f t="shared" si="1"/>
        <v>11099.999999999976</v>
      </c>
    </row>
    <row r="13" spans="1:11" x14ac:dyDescent="0.25">
      <c r="A13" s="31">
        <v>37012</v>
      </c>
      <c r="B13" s="15"/>
      <c r="C13" s="16" t="s">
        <v>104</v>
      </c>
      <c r="D13" s="32">
        <v>3.63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-4804.9999999999527</v>
      </c>
      <c r="J13" s="39"/>
      <c r="K13" s="41">
        <f t="shared" si="1"/>
        <v>-4804.9999999999527</v>
      </c>
    </row>
    <row r="14" spans="1:11" x14ac:dyDescent="0.25">
      <c r="A14" s="31">
        <v>37043</v>
      </c>
      <c r="B14" s="15"/>
      <c r="C14" s="16" t="s">
        <v>104</v>
      </c>
      <c r="D14" s="32">
        <v>3.63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-8400.0000000000073</v>
      </c>
      <c r="J14" s="39"/>
      <c r="K14" s="41">
        <f t="shared" si="1"/>
        <v>-8400.0000000000073</v>
      </c>
    </row>
    <row r="15" spans="1:11" x14ac:dyDescent="0.25">
      <c r="A15" s="31">
        <v>37073</v>
      </c>
      <c r="B15" s="15"/>
      <c r="C15" s="16" t="s">
        <v>104</v>
      </c>
      <c r="D15" s="32">
        <v>3.63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-11004.999999999958</v>
      </c>
      <c r="J15" s="39"/>
      <c r="K15" s="41">
        <f t="shared" si="1"/>
        <v>-11004.999999999958</v>
      </c>
    </row>
    <row r="16" spans="1:11" x14ac:dyDescent="0.25">
      <c r="A16" s="31">
        <v>37104</v>
      </c>
      <c r="B16" s="15"/>
      <c r="C16" s="16" t="s">
        <v>104</v>
      </c>
      <c r="D16" s="32">
        <v>3.63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-10229.999999999975</v>
      </c>
      <c r="J16" s="39"/>
      <c r="K16" s="41">
        <f t="shared" si="1"/>
        <v>-10229.999999999975</v>
      </c>
    </row>
    <row r="17" spans="1:11" x14ac:dyDescent="0.25">
      <c r="A17" s="31">
        <v>37135</v>
      </c>
      <c r="B17" s="15"/>
      <c r="C17" s="16" t="s">
        <v>104</v>
      </c>
      <c r="D17" s="32">
        <v>3.63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-12900.000000000045</v>
      </c>
      <c r="J17" s="39"/>
      <c r="K17" s="41">
        <f t="shared" si="1"/>
        <v>-12900.000000000045</v>
      </c>
    </row>
    <row r="18" spans="1:11" x14ac:dyDescent="0.25">
      <c r="A18" s="31">
        <v>37165</v>
      </c>
      <c r="B18" s="15"/>
      <c r="C18" s="16" t="s">
        <v>104</v>
      </c>
      <c r="D18" s="32">
        <v>3.63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-15654.999999999996</v>
      </c>
      <c r="J18" s="39"/>
      <c r="K18" s="41">
        <f t="shared" si="1"/>
        <v>-15654.999999999996</v>
      </c>
    </row>
    <row r="19" spans="1:11" x14ac:dyDescent="0.25">
      <c r="A19" s="31">
        <v>37196</v>
      </c>
      <c r="B19" s="15"/>
      <c r="C19" s="16" t="s">
        <v>104</v>
      </c>
      <c r="D19" s="32">
        <v>3.63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-2400.0000000000023</v>
      </c>
      <c r="J19" s="39"/>
      <c r="K19" s="41">
        <f t="shared" si="1"/>
        <v>-2400.0000000000023</v>
      </c>
    </row>
    <row r="20" spans="1:11" x14ac:dyDescent="0.25">
      <c r="A20" s="31">
        <v>37226</v>
      </c>
      <c r="B20" s="15"/>
      <c r="C20" s="16" t="s">
        <v>104</v>
      </c>
      <c r="D20" s="32">
        <v>3.63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11470.000000000045</v>
      </c>
      <c r="J20" s="39"/>
      <c r="K20" s="41">
        <f t="shared" si="1"/>
        <v>11470.000000000045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212325.00000000017</v>
      </c>
      <c r="J22" s="35">
        <f>SUM(J9:J20)</f>
        <v>0</v>
      </c>
      <c r="K22" s="35">
        <f>SUM(K9:K20)</f>
        <v>212325.00000000017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48</v>
      </c>
      <c r="D26" s="32">
        <v>3.63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-124129.16666666666</v>
      </c>
      <c r="J26" s="41"/>
      <c r="K26" s="41">
        <f t="shared" ref="K26:K37" si="2">+I26</f>
        <v>-124129.16666666666</v>
      </c>
    </row>
    <row r="27" spans="1:11" x14ac:dyDescent="0.25">
      <c r="A27" s="31">
        <v>36923</v>
      </c>
      <c r="B27" s="15"/>
      <c r="C27" s="16" t="s">
        <v>48</v>
      </c>
      <c r="D27" s="32">
        <v>3.63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-74363.333333333314</v>
      </c>
      <c r="J27" s="41"/>
      <c r="K27" s="41">
        <f t="shared" si="2"/>
        <v>-74363.333333333314</v>
      </c>
    </row>
    <row r="28" spans="1:11" x14ac:dyDescent="0.25">
      <c r="A28" s="31">
        <v>36951</v>
      </c>
      <c r="B28" s="15"/>
      <c r="C28" s="16" t="s">
        <v>48</v>
      </c>
      <c r="D28" s="32">
        <v>3.63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-37303.333333333423</v>
      </c>
      <c r="J28" s="41"/>
      <c r="K28" s="41">
        <f t="shared" si="2"/>
        <v>-37303.333333333423</v>
      </c>
    </row>
    <row r="29" spans="1:11" x14ac:dyDescent="0.25">
      <c r="A29" s="31">
        <v>36982</v>
      </c>
      <c r="B29" s="15"/>
      <c r="C29" s="16" t="s">
        <v>48</v>
      </c>
      <c r="D29" s="32">
        <v>3.63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775.00000000001455</v>
      </c>
      <c r="J29" s="41"/>
      <c r="K29" s="41">
        <f t="shared" si="2"/>
        <v>775.00000000001455</v>
      </c>
    </row>
    <row r="30" spans="1:11" x14ac:dyDescent="0.25">
      <c r="A30" s="31">
        <v>37012</v>
      </c>
      <c r="B30" s="15"/>
      <c r="C30" s="16" t="s">
        <v>48</v>
      </c>
      <c r="D30" s="32">
        <v>3.63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17075.833333333347</v>
      </c>
      <c r="J30" s="39"/>
      <c r="K30" s="41">
        <f t="shared" si="2"/>
        <v>17075.833333333347</v>
      </c>
    </row>
    <row r="31" spans="1:11" x14ac:dyDescent="0.25">
      <c r="A31" s="31">
        <v>37043</v>
      </c>
      <c r="B31" s="15"/>
      <c r="C31" s="16" t="s">
        <v>48</v>
      </c>
      <c r="D31" s="32">
        <v>3.63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20274.999999999931</v>
      </c>
      <c r="J31" s="39"/>
      <c r="K31" s="41">
        <f t="shared" si="2"/>
        <v>20274.999999999931</v>
      </c>
    </row>
    <row r="32" spans="1:11" x14ac:dyDescent="0.25">
      <c r="A32" s="31">
        <v>37073</v>
      </c>
      <c r="B32" s="15"/>
      <c r="C32" s="16" t="s">
        <v>48</v>
      </c>
      <c r="D32" s="32">
        <v>3.63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23275.83333333335</v>
      </c>
      <c r="J32" s="39"/>
      <c r="K32" s="41">
        <f t="shared" si="2"/>
        <v>23275.83333333335</v>
      </c>
    </row>
    <row r="33" spans="1:11" x14ac:dyDescent="0.25">
      <c r="A33" s="31">
        <v>37104</v>
      </c>
      <c r="B33" s="15"/>
      <c r="C33" s="16" t="s">
        <v>48</v>
      </c>
      <c r="D33" s="32">
        <v>3.63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22500.833333333369</v>
      </c>
      <c r="J33" s="39"/>
      <c r="K33" s="41">
        <f t="shared" si="2"/>
        <v>22500.833333333369</v>
      </c>
    </row>
    <row r="34" spans="1:11" x14ac:dyDescent="0.25">
      <c r="A34" s="31">
        <v>37135</v>
      </c>
      <c r="B34" s="15"/>
      <c r="C34" s="16" t="s">
        <v>48</v>
      </c>
      <c r="D34" s="32">
        <v>3.63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24775.000000000036</v>
      </c>
      <c r="J34" s="39"/>
      <c r="K34" s="41">
        <f t="shared" si="2"/>
        <v>24775.000000000036</v>
      </c>
    </row>
    <row r="35" spans="1:11" x14ac:dyDescent="0.25">
      <c r="A35" s="31">
        <v>37165</v>
      </c>
      <c r="B35" s="15"/>
      <c r="C35" s="16" t="s">
        <v>48</v>
      </c>
      <c r="D35" s="32">
        <v>3.63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27925.83333333339</v>
      </c>
      <c r="J35" s="39"/>
      <c r="K35" s="41">
        <f t="shared" si="2"/>
        <v>27925.83333333339</v>
      </c>
    </row>
    <row r="36" spans="1:11" x14ac:dyDescent="0.25">
      <c r="A36" s="31">
        <v>37196</v>
      </c>
      <c r="B36" s="15"/>
      <c r="C36" s="16" t="s">
        <v>48</v>
      </c>
      <c r="D36" s="32">
        <v>3.63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7400.0000000000509</v>
      </c>
      <c r="J36" s="39"/>
      <c r="K36" s="41">
        <f t="shared" si="2"/>
        <v>7400.0000000000509</v>
      </c>
    </row>
    <row r="37" spans="1:11" x14ac:dyDescent="0.25">
      <c r="A37" s="31">
        <v>37226</v>
      </c>
      <c r="B37" s="15"/>
      <c r="C37" s="16" t="s">
        <v>48</v>
      </c>
      <c r="D37" s="32">
        <v>3.63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-6303.3333333333967</v>
      </c>
      <c r="J37" s="39"/>
      <c r="K37" s="41">
        <f t="shared" si="2"/>
        <v>-6303.3333333333967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-98095.833333333314</v>
      </c>
      <c r="J39" s="33">
        <f>SUM(J26:J38)</f>
        <v>0</v>
      </c>
      <c r="K39" s="33">
        <f>SUM(K26:K38)</f>
        <v>-98095.833333333314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31">
        <v>36892</v>
      </c>
      <c r="B9" s="15"/>
      <c r="C9" s="16" t="s">
        <v>104</v>
      </c>
      <c r="D9" s="32">
        <v>3.585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136399.99999999997</v>
      </c>
      <c r="J9" s="41"/>
      <c r="K9" s="41">
        <f t="shared" ref="K9:K20" si="1">+I9</f>
        <v>136399.99999999997</v>
      </c>
    </row>
    <row r="10" spans="1:11" x14ac:dyDescent="0.25">
      <c r="A10" s="31">
        <v>36923</v>
      </c>
      <c r="B10" s="15"/>
      <c r="C10" s="16" t="s">
        <v>104</v>
      </c>
      <c r="D10" s="32">
        <v>3.585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85680.000000000015</v>
      </c>
      <c r="J10" s="41"/>
      <c r="K10" s="41">
        <f t="shared" si="1"/>
        <v>85680.000000000015</v>
      </c>
    </row>
    <row r="11" spans="1:11" x14ac:dyDescent="0.25">
      <c r="A11" s="31">
        <v>36951</v>
      </c>
      <c r="B11" s="15"/>
      <c r="C11" s="16" t="s">
        <v>104</v>
      </c>
      <c r="D11" s="32">
        <v>3.585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53320.000000000051</v>
      </c>
      <c r="J11" s="41"/>
      <c r="K11" s="41">
        <f t="shared" si="1"/>
        <v>53320.000000000051</v>
      </c>
    </row>
    <row r="12" spans="1:11" x14ac:dyDescent="0.25">
      <c r="A12" s="31">
        <v>36982</v>
      </c>
      <c r="B12" s="15"/>
      <c r="C12" s="16" t="s">
        <v>104</v>
      </c>
      <c r="D12" s="32">
        <v>3.585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17849.999999999967</v>
      </c>
      <c r="J12" s="41"/>
      <c r="K12" s="41">
        <f t="shared" si="1"/>
        <v>17849.999999999967</v>
      </c>
    </row>
    <row r="13" spans="1:11" x14ac:dyDescent="0.25">
      <c r="A13" s="31">
        <v>37012</v>
      </c>
      <c r="B13" s="15"/>
      <c r="C13" s="16" t="s">
        <v>104</v>
      </c>
      <c r="D13" s="32">
        <v>3.585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2170.0000000000364</v>
      </c>
      <c r="J13" s="39"/>
      <c r="K13" s="41">
        <f t="shared" si="1"/>
        <v>2170.0000000000364</v>
      </c>
    </row>
    <row r="14" spans="1:11" x14ac:dyDescent="0.25">
      <c r="A14" s="31">
        <v>37043</v>
      </c>
      <c r="B14" s="15"/>
      <c r="C14" s="16" t="s">
        <v>104</v>
      </c>
      <c r="D14" s="32">
        <v>3.585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-1650.0000000000182</v>
      </c>
      <c r="J14" s="39"/>
      <c r="K14" s="41">
        <f t="shared" si="1"/>
        <v>-1650.0000000000182</v>
      </c>
    </row>
    <row r="15" spans="1:11" x14ac:dyDescent="0.25">
      <c r="A15" s="31">
        <v>37073</v>
      </c>
      <c r="B15" s="15"/>
      <c r="C15" s="16" t="s">
        <v>104</v>
      </c>
      <c r="D15" s="32">
        <v>3.585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-4029.9999999999691</v>
      </c>
      <c r="J15" s="39"/>
      <c r="K15" s="41">
        <f t="shared" si="1"/>
        <v>-4029.9999999999691</v>
      </c>
    </row>
    <row r="16" spans="1:11" x14ac:dyDescent="0.25">
      <c r="A16" s="31">
        <v>37104</v>
      </c>
      <c r="B16" s="15"/>
      <c r="C16" s="16" t="s">
        <v>104</v>
      </c>
      <c r="D16" s="32">
        <v>3.585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-3254.9999999999859</v>
      </c>
      <c r="J16" s="39"/>
      <c r="K16" s="41">
        <f t="shared" si="1"/>
        <v>-3254.9999999999859</v>
      </c>
    </row>
    <row r="17" spans="1:11" x14ac:dyDescent="0.25">
      <c r="A17" s="31">
        <v>37135</v>
      </c>
      <c r="B17" s="15"/>
      <c r="C17" s="16" t="s">
        <v>104</v>
      </c>
      <c r="D17" s="32">
        <v>3.585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-6150.0000000000555</v>
      </c>
      <c r="J17" s="39"/>
      <c r="K17" s="41">
        <f t="shared" si="1"/>
        <v>-6150.0000000000555</v>
      </c>
    </row>
    <row r="18" spans="1:11" x14ac:dyDescent="0.25">
      <c r="A18" s="31">
        <v>37165</v>
      </c>
      <c r="B18" s="15"/>
      <c r="C18" s="16" t="s">
        <v>104</v>
      </c>
      <c r="D18" s="32">
        <v>3.585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-8680.0000000000073</v>
      </c>
      <c r="J18" s="39"/>
      <c r="K18" s="41">
        <f t="shared" si="1"/>
        <v>-8680.0000000000073</v>
      </c>
    </row>
    <row r="19" spans="1:11" x14ac:dyDescent="0.25">
      <c r="A19" s="31">
        <v>37196</v>
      </c>
      <c r="B19" s="15"/>
      <c r="C19" s="16" t="s">
        <v>104</v>
      </c>
      <c r="D19" s="32">
        <v>3.585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4349.9999999999873</v>
      </c>
      <c r="J19" s="39"/>
      <c r="K19" s="41">
        <f t="shared" si="1"/>
        <v>4349.9999999999873</v>
      </c>
    </row>
    <row r="20" spans="1:11" x14ac:dyDescent="0.25">
      <c r="A20" s="31">
        <v>37226</v>
      </c>
      <c r="B20" s="15"/>
      <c r="C20" s="16" t="s">
        <v>104</v>
      </c>
      <c r="D20" s="32">
        <v>3.585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18445.000000000033</v>
      </c>
      <c r="J20" s="39"/>
      <c r="K20" s="41">
        <f t="shared" si="1"/>
        <v>18445.000000000033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294450.00000000012</v>
      </c>
      <c r="J22" s="35">
        <f>SUM(J9:J20)</f>
        <v>0</v>
      </c>
      <c r="K22" s="35">
        <f>SUM(K9:K20)</f>
        <v>294450.00000000012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48</v>
      </c>
      <c r="D26" s="32">
        <v>3.585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-131104.16666666666</v>
      </c>
      <c r="J26" s="41"/>
      <c r="K26" s="41">
        <f t="shared" ref="K26:K37" si="2">+I26</f>
        <v>-131104.16666666666</v>
      </c>
    </row>
    <row r="27" spans="1:11" x14ac:dyDescent="0.25">
      <c r="A27" s="31">
        <v>36923</v>
      </c>
      <c r="B27" s="15"/>
      <c r="C27" s="16" t="s">
        <v>48</v>
      </c>
      <c r="D27" s="32">
        <v>3.585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-80663.333333333314</v>
      </c>
      <c r="J27" s="41"/>
      <c r="K27" s="41">
        <f t="shared" si="2"/>
        <v>-80663.333333333314</v>
      </c>
    </row>
    <row r="28" spans="1:11" x14ac:dyDescent="0.25">
      <c r="A28" s="31">
        <v>36951</v>
      </c>
      <c r="B28" s="15"/>
      <c r="C28" s="16" t="s">
        <v>48</v>
      </c>
      <c r="D28" s="32">
        <v>3.585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-44278.333333333416</v>
      </c>
      <c r="J28" s="41"/>
      <c r="K28" s="41">
        <f t="shared" si="2"/>
        <v>-44278.333333333416</v>
      </c>
    </row>
    <row r="29" spans="1:11" x14ac:dyDescent="0.25">
      <c r="A29" s="31">
        <v>36982</v>
      </c>
      <c r="B29" s="15"/>
      <c r="C29" s="16" t="s">
        <v>48</v>
      </c>
      <c r="D29" s="32">
        <v>3.585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-5974.9999999999745</v>
      </c>
      <c r="J29" s="41"/>
      <c r="K29" s="41">
        <f t="shared" si="2"/>
        <v>-5974.9999999999745</v>
      </c>
    </row>
    <row r="30" spans="1:11" x14ac:dyDescent="0.25">
      <c r="A30" s="31">
        <v>37012</v>
      </c>
      <c r="B30" s="15"/>
      <c r="C30" s="16" t="s">
        <v>48</v>
      </c>
      <c r="D30" s="32">
        <v>3.585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10100.833333333356</v>
      </c>
      <c r="J30" s="39"/>
      <c r="K30" s="41">
        <f t="shared" si="2"/>
        <v>10100.833333333356</v>
      </c>
    </row>
    <row r="31" spans="1:11" x14ac:dyDescent="0.25">
      <c r="A31" s="31">
        <v>37043</v>
      </c>
      <c r="B31" s="15"/>
      <c r="C31" s="16" t="s">
        <v>48</v>
      </c>
      <c r="D31" s="32">
        <v>3.585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13524.999999999942</v>
      </c>
      <c r="J31" s="39"/>
      <c r="K31" s="41">
        <f t="shared" si="2"/>
        <v>13524.999999999942</v>
      </c>
    </row>
    <row r="32" spans="1:11" x14ac:dyDescent="0.25">
      <c r="A32" s="31">
        <v>37073</v>
      </c>
      <c r="B32" s="15"/>
      <c r="C32" s="16" t="s">
        <v>48</v>
      </c>
      <c r="D32" s="32">
        <v>3.585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16300.833333333363</v>
      </c>
      <c r="J32" s="39"/>
      <c r="K32" s="41">
        <f t="shared" si="2"/>
        <v>16300.833333333363</v>
      </c>
    </row>
    <row r="33" spans="1:11" x14ac:dyDescent="0.25">
      <c r="A33" s="31">
        <v>37104</v>
      </c>
      <c r="B33" s="15"/>
      <c r="C33" s="16" t="s">
        <v>48</v>
      </c>
      <c r="D33" s="32">
        <v>3.585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15525.833333333379</v>
      </c>
      <c r="J33" s="39"/>
      <c r="K33" s="41">
        <f t="shared" si="2"/>
        <v>15525.833333333379</v>
      </c>
    </row>
    <row r="34" spans="1:11" x14ac:dyDescent="0.25">
      <c r="A34" s="31">
        <v>37135</v>
      </c>
      <c r="B34" s="15"/>
      <c r="C34" s="16" t="s">
        <v>48</v>
      </c>
      <c r="D34" s="32">
        <v>3.585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18025.000000000047</v>
      </c>
      <c r="J34" s="39"/>
      <c r="K34" s="41">
        <f t="shared" si="2"/>
        <v>18025.000000000047</v>
      </c>
    </row>
    <row r="35" spans="1:11" x14ac:dyDescent="0.25">
      <c r="A35" s="31">
        <v>37165</v>
      </c>
      <c r="B35" s="15"/>
      <c r="C35" s="16" t="s">
        <v>48</v>
      </c>
      <c r="D35" s="32">
        <v>3.585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20950.833333333401</v>
      </c>
      <c r="J35" s="39"/>
      <c r="K35" s="41">
        <f t="shared" si="2"/>
        <v>20950.833333333401</v>
      </c>
    </row>
    <row r="36" spans="1:11" x14ac:dyDescent="0.25">
      <c r="A36" s="31">
        <v>37196</v>
      </c>
      <c r="B36" s="15"/>
      <c r="C36" s="16" t="s">
        <v>48</v>
      </c>
      <c r="D36" s="32">
        <v>3.585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650.00000000006162</v>
      </c>
      <c r="J36" s="39"/>
      <c r="K36" s="41">
        <f t="shared" si="2"/>
        <v>650.00000000006162</v>
      </c>
    </row>
    <row r="37" spans="1:11" x14ac:dyDescent="0.25">
      <c r="A37" s="31">
        <v>37226</v>
      </c>
      <c r="B37" s="15"/>
      <c r="C37" s="16" t="s">
        <v>48</v>
      </c>
      <c r="D37" s="32">
        <v>3.585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-13278.333333333385</v>
      </c>
      <c r="J37" s="39"/>
      <c r="K37" s="41">
        <f t="shared" si="2"/>
        <v>-13278.333333333385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-180220.83333333317</v>
      </c>
      <c r="J39" s="33">
        <f>SUM(J26:J38)</f>
        <v>0</v>
      </c>
      <c r="K39" s="33">
        <f>SUM(K26:K38)</f>
        <v>-180220.83333333317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114229.16666666695</v>
      </c>
      <c r="J41" s="34">
        <f>+J39+J22</f>
        <v>0</v>
      </c>
      <c r="K41" s="34">
        <f>+K39+K22</f>
        <v>114229.16666666695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64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5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5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5">
      <c r="A8" s="11"/>
      <c r="B8" s="12"/>
      <c r="C8" s="12"/>
      <c r="D8" s="12"/>
      <c r="E8" s="12"/>
      <c r="F8" s="12"/>
      <c r="G8" s="46" t="s">
        <v>62</v>
      </c>
      <c r="H8" s="13"/>
      <c r="I8" s="58" t="s">
        <v>32</v>
      </c>
      <c r="J8" s="58" t="s">
        <v>32</v>
      </c>
      <c r="K8" s="59" t="s">
        <v>32</v>
      </c>
    </row>
    <row r="9" spans="1:11" x14ac:dyDescent="0.25">
      <c r="A9" s="63" t="s">
        <v>65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5">
      <c r="A10" s="63" t="s">
        <v>66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63" t="s">
        <v>67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63" t="s">
        <v>68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63" t="s">
        <v>69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63" t="s">
        <v>70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63" t="s">
        <v>71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5">
      <c r="A16" s="63" t="s">
        <v>72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5">
      <c r="A17" s="63" t="s">
        <v>73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5">
      <c r="A18" s="63" t="s">
        <v>74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5">
      <c r="A19" s="63" t="s">
        <v>75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5">
      <c r="A20" s="63" t="s">
        <v>76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5">
      <c r="A23" s="20"/>
      <c r="B23" s="15"/>
      <c r="C23" s="15"/>
      <c r="D23" s="15"/>
      <c r="E23" s="15"/>
      <c r="F23" s="15"/>
      <c r="G23" s="50" t="s">
        <v>63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5">
      <c r="A25" s="63" t="s">
        <v>65</v>
      </c>
      <c r="B25" s="16">
        <f>26125</f>
        <v>26125</v>
      </c>
      <c r="C25" s="16" t="s">
        <v>36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5">
      <c r="A26" s="63" t="s">
        <v>66</v>
      </c>
      <c r="B26" s="16">
        <f>26125</f>
        <v>26125</v>
      </c>
      <c r="C26" s="16" t="s">
        <v>36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5">
      <c r="A27" s="63" t="s">
        <v>67</v>
      </c>
      <c r="B27" s="16">
        <f>26125</f>
        <v>26125</v>
      </c>
      <c r="C27" s="16" t="s">
        <v>36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5">
      <c r="A28" s="63" t="s">
        <v>68</v>
      </c>
      <c r="B28" s="16">
        <f>26125</f>
        <v>26125</v>
      </c>
      <c r="C28" s="16" t="s">
        <v>36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5">
      <c r="A29" s="63" t="s">
        <v>69</v>
      </c>
      <c r="B29" s="16">
        <f>26125</f>
        <v>26125</v>
      </c>
      <c r="C29" s="16" t="s">
        <v>36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5">
      <c r="A30" s="63" t="s">
        <v>70</v>
      </c>
      <c r="B30" s="16">
        <f>26125</f>
        <v>26125</v>
      </c>
      <c r="C30" s="16" t="s">
        <v>36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5">
      <c r="A31" s="63" t="s">
        <v>71</v>
      </c>
      <c r="B31" s="16">
        <f>26125</f>
        <v>26125</v>
      </c>
      <c r="C31" s="16" t="s">
        <v>36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5">
      <c r="A32" s="63" t="s">
        <v>72</v>
      </c>
      <c r="B32" s="16">
        <f>26125</f>
        <v>26125</v>
      </c>
      <c r="C32" s="16" t="s">
        <v>36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5">
      <c r="A33" s="63" t="s">
        <v>73</v>
      </c>
      <c r="B33" s="16">
        <f>26125</f>
        <v>26125</v>
      </c>
      <c r="C33" s="16" t="s">
        <v>36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5">
      <c r="A34" s="63" t="s">
        <v>74</v>
      </c>
      <c r="B34" s="16">
        <f>26125</f>
        <v>26125</v>
      </c>
      <c r="C34" s="16" t="s">
        <v>36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5">
      <c r="A35" s="63" t="s">
        <v>75</v>
      </c>
      <c r="B35" s="16">
        <f>26125</f>
        <v>26125</v>
      </c>
      <c r="C35" s="16" t="s">
        <v>36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5">
      <c r="A36" s="63" t="s">
        <v>76</v>
      </c>
      <c r="B36" s="16">
        <f>26125</f>
        <v>26125</v>
      </c>
      <c r="C36" s="16" t="s">
        <v>36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51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Summary</vt:lpstr>
      <vt:lpstr>RMTC_2</vt:lpstr>
      <vt:lpstr>Elpaso_6</vt:lpstr>
      <vt:lpstr>ENA_9</vt:lpstr>
      <vt:lpstr>ENA_10</vt:lpstr>
      <vt:lpstr>ENA_11</vt:lpstr>
      <vt:lpstr>ENA_12</vt:lpstr>
      <vt:lpstr>ENA_13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2000-08-25T18:26:23Z</cp:lastPrinted>
  <dcterms:created xsi:type="dcterms:W3CDTF">1999-02-26T14:05:48Z</dcterms:created>
  <dcterms:modified xsi:type="dcterms:W3CDTF">2023-09-10T11:37:31Z</dcterms:modified>
</cp:coreProperties>
</file>