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80" windowWidth="8880" windowHeight="4560" tabRatio="144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El Paso_18" sheetId="17" r:id="rId8"/>
    <sheet name="ENA_19" sheetId="16" r:id="rId9"/>
    <sheet name="ENA_10-Expired" sheetId="12" r:id="rId10"/>
    <sheet name="Sempra_1_Expired" sheetId="3" r:id="rId11"/>
    <sheet name="MEC_8_Expired" sheetId="10" r:id="rId12"/>
    <sheet name="Avista_1_Expired" sheetId="2" r:id="rId13"/>
    <sheet name="Avista_2_Expired" sheetId="4" r:id="rId14"/>
    <sheet name="Sempra_2_Expired" sheetId="5" r:id="rId15"/>
    <sheet name="Sempra_2.1_Expired" sheetId="6" r:id="rId16"/>
  </sheets>
  <externalReferences>
    <externalReference r:id="rId17"/>
  </externalReferences>
  <definedNames>
    <definedName name="_xlnm.Print_Area" localSheetId="12">Avista_1_Expired!$A$1:$K$41</definedName>
    <definedName name="_xlnm.Print_Area" localSheetId="13">Avista_2_Expired!$A$1:$K$46</definedName>
    <definedName name="_xlnm.Print_Area" localSheetId="10">Sempra_1_Expired!$A$1:$K$44</definedName>
    <definedName name="_xlnm.Print_Area" localSheetId="0">Summary!$A$1:$Q$108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F9" i="17"/>
  <c r="I9" i="17"/>
  <c r="J9" i="17"/>
  <c r="F12" i="17"/>
  <c r="I12" i="17"/>
  <c r="J12" i="17"/>
  <c r="K12" i="17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F9" i="12"/>
  <c r="H9" i="12"/>
  <c r="I9" i="12"/>
  <c r="J9" i="12"/>
  <c r="F10" i="12"/>
  <c r="H10" i="12"/>
  <c r="I10" i="12"/>
  <c r="J10" i="12"/>
  <c r="F11" i="12"/>
  <c r="H11" i="12"/>
  <c r="I11" i="12"/>
  <c r="J11" i="12"/>
  <c r="F12" i="12"/>
  <c r="H12" i="12"/>
  <c r="I12" i="12"/>
  <c r="J12" i="12"/>
  <c r="F13" i="12"/>
  <c r="H13" i="12"/>
  <c r="I13" i="12"/>
  <c r="J13" i="12"/>
  <c r="F14" i="12"/>
  <c r="H14" i="12"/>
  <c r="I14" i="12"/>
  <c r="J14" i="12"/>
  <c r="F15" i="12"/>
  <c r="H15" i="12"/>
  <c r="I15" i="12"/>
  <c r="J15" i="12"/>
  <c r="F16" i="12"/>
  <c r="H16" i="12"/>
  <c r="I16" i="12"/>
  <c r="J16" i="12"/>
  <c r="F17" i="12"/>
  <c r="H17" i="12"/>
  <c r="I17" i="12"/>
  <c r="J17" i="12"/>
  <c r="F18" i="12"/>
  <c r="H18" i="12"/>
  <c r="I18" i="12"/>
  <c r="J18" i="12"/>
  <c r="F19" i="12"/>
  <c r="H19" i="12"/>
  <c r="I19" i="12"/>
  <c r="J19" i="12"/>
  <c r="F20" i="12"/>
  <c r="H20" i="12"/>
  <c r="I20" i="12"/>
  <c r="J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H9" i="13"/>
  <c r="I9" i="13"/>
  <c r="K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H26" i="13"/>
  <c r="I26" i="13"/>
  <c r="K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H9" i="14"/>
  <c r="I9" i="14"/>
  <c r="K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H26" i="14"/>
  <c r="I26" i="14"/>
  <c r="K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H26" i="15"/>
  <c r="I26" i="15"/>
  <c r="K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I9" i="16"/>
  <c r="J9" i="16"/>
  <c r="F12" i="16"/>
  <c r="I12" i="16"/>
  <c r="J12" i="16"/>
  <c r="K12" i="16"/>
  <c r="F9" i="11"/>
  <c r="H9" i="11"/>
  <c r="I9" i="11"/>
  <c r="K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H26" i="11"/>
  <c r="I26" i="11"/>
  <c r="K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J16" i="7"/>
  <c r="F17" i="7"/>
  <c r="I17" i="7"/>
  <c r="J17" i="7"/>
  <c r="F18" i="7"/>
  <c r="H18" i="7"/>
  <c r="I18" i="7"/>
  <c r="K18" i="7"/>
  <c r="F19" i="7"/>
  <c r="H19" i="7"/>
  <c r="I19" i="7"/>
  <c r="K19" i="7"/>
  <c r="F20" i="7"/>
  <c r="H20" i="7"/>
  <c r="I20" i="7"/>
  <c r="K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J33" i="7"/>
  <c r="F34" i="7"/>
  <c r="I34" i="7"/>
  <c r="J34" i="7"/>
  <c r="F35" i="7"/>
  <c r="H35" i="7"/>
  <c r="I35" i="7"/>
  <c r="K35" i="7"/>
  <c r="F36" i="7"/>
  <c r="H36" i="7"/>
  <c r="I36" i="7"/>
  <c r="K36" i="7"/>
  <c r="F37" i="7"/>
  <c r="H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L13" i="1"/>
  <c r="M13" i="1"/>
  <c r="N13" i="1"/>
  <c r="O13" i="1"/>
  <c r="P13" i="1"/>
  <c r="Q13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L17" i="1"/>
  <c r="M17" i="1"/>
  <c r="N17" i="1"/>
  <c r="O17" i="1"/>
  <c r="P17" i="1"/>
  <c r="Q17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L21" i="1"/>
  <c r="M21" i="1"/>
  <c r="N21" i="1"/>
  <c r="O21" i="1"/>
  <c r="P21" i="1"/>
  <c r="Q21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L29" i="1"/>
  <c r="M29" i="1"/>
  <c r="N29" i="1"/>
  <c r="O29" i="1"/>
  <c r="P29" i="1"/>
  <c r="Q29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L33" i="1"/>
  <c r="M33" i="1"/>
  <c r="N33" i="1"/>
  <c r="O33" i="1"/>
  <c r="P33" i="1"/>
  <c r="Q33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L37" i="1"/>
  <c r="M37" i="1"/>
  <c r="N37" i="1"/>
  <c r="O37" i="1"/>
  <c r="P37" i="1"/>
  <c r="Q37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41" i="1"/>
  <c r="M41" i="1"/>
  <c r="N41" i="1"/>
  <c r="O41" i="1"/>
  <c r="P41" i="1"/>
  <c r="Q41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L45" i="1"/>
  <c r="M45" i="1"/>
  <c r="N45" i="1"/>
  <c r="O45" i="1"/>
  <c r="P45" i="1"/>
  <c r="Q45" i="1"/>
  <c r="K48" i="1"/>
  <c r="N48" i="1"/>
  <c r="O48" i="1"/>
  <c r="P48" i="1"/>
  <c r="O49" i="1"/>
  <c r="P49" i="1"/>
  <c r="Q49" i="1"/>
  <c r="K52" i="1"/>
  <c r="M52" i="1"/>
  <c r="N52" i="1"/>
  <c r="O52" i="1"/>
  <c r="P52" i="1"/>
  <c r="Q52" i="1"/>
  <c r="K53" i="1"/>
  <c r="L53" i="1"/>
  <c r="M53" i="1"/>
  <c r="N53" i="1"/>
  <c r="O53" i="1"/>
  <c r="P53" i="1"/>
  <c r="Q53" i="1"/>
  <c r="L54" i="1"/>
  <c r="M54" i="1"/>
  <c r="N54" i="1"/>
  <c r="O54" i="1"/>
  <c r="P54" i="1"/>
  <c r="Q54" i="1"/>
  <c r="K56" i="1"/>
  <c r="M56" i="1"/>
  <c r="N56" i="1"/>
  <c r="O56" i="1"/>
  <c r="P56" i="1"/>
  <c r="Q56" i="1"/>
  <c r="K57" i="1"/>
  <c r="L57" i="1"/>
  <c r="M57" i="1"/>
  <c r="N57" i="1"/>
  <c r="O57" i="1"/>
  <c r="P57" i="1"/>
  <c r="Q57" i="1"/>
  <c r="L58" i="1"/>
  <c r="M58" i="1"/>
  <c r="N58" i="1"/>
  <c r="O58" i="1"/>
  <c r="P58" i="1"/>
  <c r="Q58" i="1"/>
  <c r="K60" i="1"/>
  <c r="M60" i="1"/>
  <c r="N60" i="1"/>
  <c r="O60" i="1"/>
  <c r="P60" i="1"/>
  <c r="Q60" i="1"/>
  <c r="K61" i="1"/>
  <c r="L61" i="1"/>
  <c r="M61" i="1"/>
  <c r="N61" i="1"/>
  <c r="O61" i="1"/>
  <c r="P61" i="1"/>
  <c r="Q61" i="1"/>
  <c r="L62" i="1"/>
  <c r="M62" i="1"/>
  <c r="N62" i="1"/>
  <c r="O62" i="1"/>
  <c r="P62" i="1"/>
  <c r="Q62" i="1"/>
  <c r="M64" i="1"/>
  <c r="N64" i="1"/>
  <c r="O64" i="1"/>
  <c r="P64" i="1"/>
  <c r="Q64" i="1"/>
  <c r="M77" i="1"/>
  <c r="O77" i="1"/>
  <c r="Q77" i="1"/>
  <c r="K78" i="1"/>
  <c r="L78" i="1"/>
  <c r="N78" i="1"/>
  <c r="O78" i="1"/>
  <c r="Q78" i="1"/>
  <c r="K79" i="1"/>
  <c r="L79" i="1"/>
  <c r="N79" i="1"/>
  <c r="O79" i="1"/>
  <c r="Q79" i="1"/>
  <c r="M80" i="1"/>
  <c r="N80" i="1"/>
  <c r="O80" i="1"/>
  <c r="Q80" i="1"/>
  <c r="Q83" i="1"/>
  <c r="M84" i="1"/>
  <c r="O84" i="1"/>
  <c r="Q84" i="1"/>
  <c r="M85" i="1"/>
  <c r="O85" i="1"/>
  <c r="Q85" i="1"/>
  <c r="Q87" i="1"/>
  <c r="O88" i="1"/>
  <c r="Q88" i="1"/>
  <c r="M89" i="1"/>
  <c r="O89" i="1"/>
  <c r="Q89" i="1"/>
  <c r="Q91" i="1"/>
  <c r="M92" i="1"/>
  <c r="Q92" i="1"/>
  <c r="M93" i="1"/>
  <c r="O93" i="1"/>
  <c r="Q93" i="1"/>
  <c r="Q95" i="1"/>
  <c r="O97" i="1"/>
  <c r="Q97" i="1"/>
  <c r="O99" i="1"/>
  <c r="Q99" i="1"/>
  <c r="M101" i="1"/>
  <c r="N101" i="1"/>
  <c r="O101" i="1"/>
  <c r="P101" i="1"/>
  <c r="Q101" i="1"/>
</calcChain>
</file>

<file path=xl/sharedStrings.xml><?xml version="1.0" encoding="utf-8"?>
<sst xmlns="http://schemas.openxmlformats.org/spreadsheetml/2006/main" count="995" uniqueCount="135">
  <si>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</si>
  <si>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</si>
  <si>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</si>
  <si>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</si>
  <si>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</si>
  <si>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</si>
  <si>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</si>
  <si>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</si>
  <si>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</si>
  <si>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</si>
  <si>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</si>
  <si>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</si>
  <si>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</si>
  <si>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</si>
  <si>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</si>
  <si>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</si>
  <si>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</si>
  <si>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</si>
  <si>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</si>
  <si>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</si>
  <si>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</si>
  <si>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</si>
  <si>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</si>
  <si>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</si>
  <si>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</si>
  <si>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</si>
  <si>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</si>
  <si>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</si>
  <si>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</si>
  <si>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</si>
  <si>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</si>
  <si>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</si>
  <si>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</si>
  <si>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</si>
  <si>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</si>
  <si>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</si>
  <si>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</si>
  <si>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</si>
  <si>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</si>
  <si>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</si>
  <si>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</si>
  <si>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</si>
  <si>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</si>
  <si>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</si>
  <si>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</si>
  <si>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</si>
  <si>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</si>
  <si>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</si>
  <si>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</si>
  <si>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</si>
  <si>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</si>
  <si>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</si>
  <si>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</si>
  <si>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</si>
  <si>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</si>
  <si>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</si>
  <si>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</si>
  <si>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</si>
  <si>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</si>
  <si>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</si>
  <si>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</si>
  <si>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</si>
  <si>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</si>
  <si>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</si>
  <si>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</si>
  <si>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</si>
  <si>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</si>
  <si>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</si>
  <si>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</si>
  <si>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</si>
  <si>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</si>
  <si>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</si>
  <si>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</si>
  <si>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</si>
  <si>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</si>
  <si>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</si>
  <si>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</si>
  <si>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</si>
  <si>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</si>
  <si>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</si>
  <si>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</si>
  <si>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</si>
  <si>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</si>
  <si>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</si>
  <si>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</si>
  <si>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</si>
  <si>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</si>
  <si>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</si>
  <si>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</si>
  <si>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</si>
  <si>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</si>
  <si>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</si>
  <si>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</si>
  <si>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</si>
  <si>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</si>
  <si>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</si>
  <si>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</si>
  <si>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</si>
  <si>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</si>
  <si>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</si>
  <si>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</si>
  <si>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</si>
  <si>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</si>
  <si>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</si>
  <si>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</si>
  <si>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</si>
  <si>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</si>
  <si>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</si>
  <si>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</si>
  <si>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</si>
  <si>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</si>
  <si>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</si>
  <si>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</si>
  <si>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AS OF September 30, 2000</t>
  </si>
  <si>
    <t>TransCanada</t>
  </si>
  <si>
    <t>Put #1-#8</t>
  </si>
  <si>
    <t>Swap #17-#24</t>
  </si>
  <si>
    <t>Option</t>
  </si>
  <si>
    <t>Reserve</t>
  </si>
  <si>
    <t>Swap #1-#8</t>
  </si>
  <si>
    <t>NT6154.1</t>
  </si>
  <si>
    <t>Trade</t>
  </si>
  <si>
    <t>NV5358.1</t>
  </si>
  <si>
    <t>11/00-03/09</t>
  </si>
  <si>
    <t>SW01-08</t>
  </si>
  <si>
    <t>PT01-08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</si>
  <si>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</si>
  <si>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</si>
  <si>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</si>
  <si>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</si>
  <si>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</si>
  <si>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</si>
  <si>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</si>
  <si>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</si>
  <si>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Note 1:  Net income effect upon adoption of FAS 133.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</si>
</sst>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44" fontId="7" fillId="0" borderId="12" xfId="0" applyNumberFormat="1" applyFont="1" applyBorder="1"/>
    <xf numFmtId="14" fontId="8" fillId="0" borderId="7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 wrapText="1"/>
    </xf>
    <xf numFmtId="14" fontId="8" fillId="0" borderId="7" xfId="0" applyNumberFormat="1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>
        <row r="9">
          <cell r="R9">
            <v>4.9146666666666663</v>
          </cell>
        </row>
        <row r="12">
          <cell r="R12">
            <v>5.0436666666666667</v>
          </cell>
        </row>
        <row r="13">
          <cell r="R13">
            <v>4.7984999999999998</v>
          </cell>
        </row>
        <row r="14">
          <cell r="R14">
            <v>4.530333333333334</v>
          </cell>
        </row>
        <row r="15">
          <cell r="R15">
            <v>4.2858333333333336</v>
          </cell>
        </row>
        <row r="16">
          <cell r="R16">
            <v>4.2108333333333334</v>
          </cell>
        </row>
        <row r="17">
          <cell r="R17">
            <v>4.1958333333333329</v>
          </cell>
        </row>
        <row r="18">
          <cell r="R18">
            <v>4.1974999999999989</v>
          </cell>
        </row>
        <row r="19">
          <cell r="R19">
            <v>4.1974999999999989</v>
          </cell>
        </row>
        <row r="20">
          <cell r="R20">
            <v>4.1875</v>
          </cell>
        </row>
        <row r="21">
          <cell r="R21">
            <v>4.1866666666666665</v>
          </cell>
        </row>
        <row r="22">
          <cell r="R22">
            <v>4.3374999999999995</v>
          </cell>
        </row>
        <row r="23">
          <cell r="R23">
            <v>4.4608333333333334</v>
          </cell>
        </row>
        <row r="34">
          <cell r="F34">
            <v>5.1269999999999998</v>
          </cell>
        </row>
        <row r="35">
          <cell r="F35">
            <v>4.9739999999999993</v>
          </cell>
        </row>
        <row r="36">
          <cell r="F36">
            <v>5.0859999999999994</v>
          </cell>
        </row>
        <row r="37">
          <cell r="F37">
            <v>5.077</v>
          </cell>
        </row>
        <row r="38">
          <cell r="F38">
            <v>4.8259999999999996</v>
          </cell>
        </row>
        <row r="39">
          <cell r="F39">
            <v>4.5795000000000003</v>
          </cell>
        </row>
        <row r="40">
          <cell r="F40">
            <v>4.3525</v>
          </cell>
        </row>
        <row r="41">
          <cell r="F41">
            <v>4.2774999999999999</v>
          </cell>
        </row>
        <row r="42">
          <cell r="F42">
            <v>4.2624999999999993</v>
          </cell>
        </row>
        <row r="43">
          <cell r="F43">
            <v>4.2624999999999993</v>
          </cell>
        </row>
        <row r="44">
          <cell r="F44">
            <v>4.2624999999999993</v>
          </cell>
        </row>
        <row r="45">
          <cell r="F45">
            <v>4.2524999999999995</v>
          </cell>
        </row>
        <row r="46">
          <cell r="F46">
            <v>4.2524999999999995</v>
          </cell>
        </row>
        <row r="47">
          <cell r="F47">
            <v>4.375</v>
          </cell>
        </row>
        <row r="48">
          <cell r="F48">
            <v>4.5</v>
          </cell>
        </row>
      </sheetData>
      <sheetData sheetId="1">
        <row r="9">
          <cell r="F9">
            <v>3.8149999999999999</v>
          </cell>
        </row>
        <row r="10">
          <cell r="F10">
            <v>3.81</v>
          </cell>
        </row>
        <row r="11">
          <cell r="F11">
            <v>3.819</v>
          </cell>
        </row>
        <row r="12">
          <cell r="F12">
            <v>3.8299999999999996</v>
          </cell>
        </row>
        <row r="13">
          <cell r="F13">
            <v>3.8499999999999996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workbookViewId="0">
      <selection sqref="A1:Q1"/>
    </sheetView>
  </sheetViews>
  <sheetFormatPr defaultColWidth="9.5546875" defaultRowHeight="10.199999999999999" x14ac:dyDescent="0.2"/>
  <cols>
    <col min="1" max="1" width="8" style="69" customWidth="1"/>
    <col min="2" max="2" width="9" style="69" bestFit="1" customWidth="1"/>
    <col min="3" max="3" width="11.5546875" style="69" bestFit="1" customWidth="1"/>
    <col min="4" max="4" width="8.44140625" style="124" bestFit="1" customWidth="1"/>
    <col min="5" max="5" width="11.6640625" style="69" bestFit="1" customWidth="1"/>
    <col min="6" max="6" width="7.44140625" style="69" bestFit="1" customWidth="1"/>
    <col min="7" max="7" width="11.33203125" style="69" bestFit="1" customWidth="1"/>
    <col min="8" max="8" width="9.6640625" style="69" bestFit="1" customWidth="1"/>
    <col min="9" max="9" width="9.44140625" style="69" customWidth="1"/>
    <col min="10" max="10" width="8.44140625" style="69" bestFit="1" customWidth="1"/>
    <col min="11" max="11" width="8.5546875" style="69" bestFit="1" customWidth="1"/>
    <col min="12" max="12" width="9.5546875" style="69" customWidth="1"/>
    <col min="13" max="13" width="12.88671875" style="69" bestFit="1" customWidth="1"/>
    <col min="14" max="14" width="9.5546875" style="69" customWidth="1"/>
    <col min="15" max="15" width="14.33203125" style="69" bestFit="1" customWidth="1"/>
    <col min="16" max="16" width="12.5546875" style="69" bestFit="1" customWidth="1"/>
    <col min="17" max="17" width="13.44140625" style="69" bestFit="1" customWidth="1"/>
    <col min="18" max="16384" width="9.5546875" style="69"/>
  </cols>
  <sheetData>
    <row r="1" spans="1:17" s="68" customFormat="1" x14ac:dyDescent="0.2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</row>
    <row r="2" spans="1:17" s="68" customFormat="1" x14ac:dyDescent="0.2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</row>
    <row r="3" spans="1:17" s="68" customFormat="1" x14ac:dyDescent="0.2">
      <c r="A3" s="184" t="s">
        <v>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</row>
    <row r="5" spans="1:17" x14ac:dyDescent="0.2">
      <c r="A5" s="184" t="s">
        <v>113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</row>
    <row r="6" spans="1:17" x14ac:dyDescent="0.2">
      <c r="A6" s="69" t="s">
        <v>100</v>
      </c>
      <c r="L6" s="70"/>
    </row>
    <row r="7" spans="1:17" s="76" customFormat="1" x14ac:dyDescent="0.2">
      <c r="A7" s="71" t="s">
        <v>3</v>
      </c>
      <c r="B7" s="72" t="s">
        <v>4</v>
      </c>
      <c r="C7" s="72" t="s">
        <v>5</v>
      </c>
      <c r="D7" s="72" t="s">
        <v>5</v>
      </c>
      <c r="E7" s="72" t="s">
        <v>5</v>
      </c>
      <c r="F7" s="72" t="s">
        <v>6</v>
      </c>
      <c r="G7" s="72" t="s">
        <v>7</v>
      </c>
      <c r="H7" s="72" t="s">
        <v>8</v>
      </c>
      <c r="I7" s="72" t="s">
        <v>121</v>
      </c>
      <c r="J7" s="72" t="s">
        <v>5</v>
      </c>
      <c r="K7" s="72" t="s">
        <v>9</v>
      </c>
      <c r="L7" s="72" t="s">
        <v>10</v>
      </c>
      <c r="M7" s="72" t="s">
        <v>5</v>
      </c>
      <c r="N7" s="72" t="s">
        <v>11</v>
      </c>
      <c r="O7" s="73"/>
      <c r="P7" s="74"/>
      <c r="Q7" s="75"/>
    </row>
    <row r="8" spans="1:17" s="76" customFormat="1" x14ac:dyDescent="0.2">
      <c r="A8" s="77" t="s">
        <v>12</v>
      </c>
      <c r="B8" s="78" t="s">
        <v>13</v>
      </c>
      <c r="C8" s="78" t="s">
        <v>13</v>
      </c>
      <c r="D8" s="78" t="s">
        <v>14</v>
      </c>
      <c r="E8" s="78" t="s">
        <v>15</v>
      </c>
      <c r="F8" s="78"/>
      <c r="G8" s="78" t="s">
        <v>16</v>
      </c>
      <c r="H8" s="78" t="s">
        <v>17</v>
      </c>
      <c r="I8" s="78" t="s">
        <v>56</v>
      </c>
      <c r="J8" s="78" t="s">
        <v>18</v>
      </c>
      <c r="K8" s="78" t="s">
        <v>19</v>
      </c>
      <c r="L8" s="78"/>
      <c r="M8" s="78" t="s">
        <v>20</v>
      </c>
      <c r="N8" s="78" t="s">
        <v>21</v>
      </c>
      <c r="O8" s="79" t="s">
        <v>22</v>
      </c>
      <c r="P8" s="80"/>
      <c r="Q8" s="81"/>
    </row>
    <row r="9" spans="1:17" s="76" customFormat="1" x14ac:dyDescent="0.2">
      <c r="A9" s="77"/>
      <c r="B9" s="78"/>
      <c r="C9" s="78"/>
      <c r="D9" s="78"/>
      <c r="E9" s="82"/>
      <c r="F9" s="78"/>
      <c r="G9" s="78" t="s">
        <v>23</v>
      </c>
      <c r="H9" s="78"/>
      <c r="I9" s="78"/>
      <c r="J9" s="78"/>
      <c r="K9" s="78" t="s">
        <v>24</v>
      </c>
      <c r="L9" s="78"/>
      <c r="M9" s="78" t="s">
        <v>25</v>
      </c>
      <c r="N9" s="78"/>
      <c r="O9" s="83" t="s">
        <v>26</v>
      </c>
      <c r="P9" s="83" t="s">
        <v>27</v>
      </c>
      <c r="Q9" s="84" t="s">
        <v>28</v>
      </c>
    </row>
    <row r="10" spans="1:17" s="76" customFormat="1" x14ac:dyDescent="0.2">
      <c r="A10" s="137"/>
      <c r="B10" s="85"/>
      <c r="C10" s="85"/>
      <c r="D10" s="85"/>
      <c r="E10" s="85"/>
      <c r="F10" s="85"/>
      <c r="G10" s="85"/>
      <c r="H10" s="85"/>
      <c r="I10" s="85"/>
      <c r="J10" s="85"/>
      <c r="K10" s="85" t="s">
        <v>29</v>
      </c>
      <c r="L10" s="85"/>
      <c r="M10" s="85" t="s">
        <v>30</v>
      </c>
      <c r="N10" s="85"/>
      <c r="O10" s="86" t="s">
        <v>109</v>
      </c>
      <c r="P10" s="86" t="s">
        <v>109</v>
      </c>
      <c r="Q10" s="87" t="s">
        <v>109</v>
      </c>
    </row>
    <row r="11" spans="1:17" hidden="1" x14ac:dyDescent="0.2">
      <c r="A11" s="88">
        <v>1</v>
      </c>
      <c r="B11" s="88" t="s">
        <v>32</v>
      </c>
      <c r="C11" s="88" t="s">
        <v>33</v>
      </c>
      <c r="D11" s="88"/>
      <c r="E11" s="88" t="s">
        <v>34</v>
      </c>
      <c r="F11" s="89"/>
      <c r="G11" s="88" t="s">
        <v>35</v>
      </c>
      <c r="H11" s="90" t="s">
        <v>82</v>
      </c>
      <c r="I11" s="89"/>
      <c r="J11" s="91">
        <f>+Avista_1_Expired!D10</f>
        <v>2.2200000000000002</v>
      </c>
      <c r="K11" s="92">
        <f>(SUM(Avista_1_Expired!G10:G21)+SUM(Avista_1_Expired!H26:H37))/12</f>
        <v>1.7525000000000004</v>
      </c>
      <c r="L11" s="91">
        <f>-O11/M11</f>
        <v>-0.46602739726027415</v>
      </c>
      <c r="M11" s="93">
        <f>-Avista_1_Expired!F22</f>
        <v>-91250</v>
      </c>
      <c r="N11" s="93">
        <f>+M11/365</f>
        <v>-250</v>
      </c>
      <c r="O11" s="94">
        <f>-Avista_1_Expired!I22</f>
        <v>-42525.000000000015</v>
      </c>
      <c r="P11" s="95">
        <f>-Avista_1_Expired!J22</f>
        <v>-42525.000000000015</v>
      </c>
      <c r="Q11" s="95">
        <f>-Avista_1_Expired!K22</f>
        <v>0</v>
      </c>
    </row>
    <row r="12" spans="1:17" hidden="1" x14ac:dyDescent="0.2">
      <c r="A12" s="96">
        <v>1</v>
      </c>
      <c r="B12" s="96" t="s">
        <v>32</v>
      </c>
      <c r="C12" s="96" t="s">
        <v>35</v>
      </c>
      <c r="D12" s="96">
        <v>26125</v>
      </c>
      <c r="E12" s="96" t="s">
        <v>36</v>
      </c>
      <c r="F12" s="96" t="s">
        <v>37</v>
      </c>
      <c r="G12" s="96" t="s">
        <v>33</v>
      </c>
      <c r="H12" s="90" t="s">
        <v>82</v>
      </c>
      <c r="I12" s="97"/>
      <c r="J12" s="99">
        <f>+Avista_1_Expired!D26</f>
        <v>2.2200000000000002</v>
      </c>
      <c r="K12" s="100">
        <f>(SUM(Avista_1_Expired!G26:G37)+SUM(Avista_1_Expired!H26:H37))/12</f>
        <v>1.8191666666666668</v>
      </c>
      <c r="L12" s="101">
        <f>+O12/M12</f>
        <v>0.36873972602739735</v>
      </c>
      <c r="M12" s="102">
        <f>-Avista_1_Expired!F38</f>
        <v>91250</v>
      </c>
      <c r="N12" s="103">
        <f>+M12/365</f>
        <v>250</v>
      </c>
      <c r="O12" s="104">
        <f>-Avista_1_Expired!I38</f>
        <v>33647.500000000007</v>
      </c>
      <c r="P12" s="95">
        <f>-Avista_1_Expired!J38</f>
        <v>33647.500000000007</v>
      </c>
      <c r="Q12" s="95">
        <f>-Avista_1_Expired!K38</f>
        <v>0</v>
      </c>
    </row>
    <row r="13" spans="1:17" hidden="1" x14ac:dyDescent="0.2">
      <c r="A13" s="96"/>
      <c r="B13" s="96"/>
      <c r="C13" s="96"/>
      <c r="D13" s="96"/>
      <c r="E13" s="96"/>
      <c r="F13" s="96"/>
      <c r="G13" s="96"/>
      <c r="H13" s="97"/>
      <c r="I13" s="97"/>
      <c r="J13" s="99"/>
      <c r="K13" s="92"/>
      <c r="L13" s="99">
        <f>+L11+L12</f>
        <v>-9.7287671232876793E-2</v>
      </c>
      <c r="M13" s="105">
        <f>SUM(M11:M12)</f>
        <v>0</v>
      </c>
      <c r="N13" s="105">
        <f>SUM(N11:N12)</f>
        <v>0</v>
      </c>
      <c r="O13" s="106">
        <f>SUM(O11:O12)</f>
        <v>-8877.5000000000073</v>
      </c>
      <c r="P13" s="106">
        <f>SUM(P11:P12)</f>
        <v>-8877.5000000000073</v>
      </c>
      <c r="Q13" s="106">
        <f>SUM(Q11:Q12)</f>
        <v>0</v>
      </c>
    </row>
    <row r="14" spans="1:17" ht="9.9" hidden="1" customHeight="1" x14ac:dyDescent="0.2">
      <c r="A14" s="96"/>
      <c r="B14" s="96"/>
      <c r="C14" s="96"/>
      <c r="D14" s="96"/>
      <c r="E14" s="96"/>
      <c r="F14" s="96"/>
      <c r="G14" s="96"/>
      <c r="H14" s="97"/>
      <c r="I14" s="97"/>
      <c r="J14" s="99"/>
      <c r="K14" s="92"/>
      <c r="L14" s="99"/>
      <c r="M14" s="103"/>
      <c r="N14" s="103"/>
      <c r="O14" s="104"/>
      <c r="P14" s="95"/>
      <c r="Q14" s="95"/>
    </row>
    <row r="15" spans="1:17" hidden="1" x14ac:dyDescent="0.2">
      <c r="A15" s="96">
        <v>1</v>
      </c>
      <c r="B15" s="96" t="s">
        <v>32</v>
      </c>
      <c r="C15" s="96" t="s">
        <v>38</v>
      </c>
      <c r="D15" s="96"/>
      <c r="E15" s="96" t="s">
        <v>34</v>
      </c>
      <c r="F15" s="96"/>
      <c r="G15" s="96" t="s">
        <v>35</v>
      </c>
      <c r="H15" s="90" t="s">
        <v>88</v>
      </c>
      <c r="I15" s="97"/>
      <c r="J15" s="99">
        <f>+Sempra_1_Expired!D9</f>
        <v>1.9450000000000001</v>
      </c>
      <c r="K15" s="100">
        <f>(SUM(Sempra_1_Expired!G9:H20)/12)</f>
        <v>2.3858333333333333</v>
      </c>
      <c r="L15" s="99">
        <f>-O15/M15</f>
        <v>0.43923497267759554</v>
      </c>
      <c r="M15" s="102">
        <f>-Sempra_1_Expired!F21</f>
        <v>-91500</v>
      </c>
      <c r="N15" s="103">
        <f>+M15/366</f>
        <v>-250</v>
      </c>
      <c r="O15" s="104">
        <f>-Sempra_1_Expired!I21</f>
        <v>40189.999999999993</v>
      </c>
      <c r="P15" s="95">
        <f>-Sempra_1_Expired!J21</f>
        <v>40189.999999999993</v>
      </c>
      <c r="Q15" s="95">
        <f>-Sempra_1_Expired!K21</f>
        <v>0</v>
      </c>
    </row>
    <row r="16" spans="1:17" hidden="1" x14ac:dyDescent="0.2">
      <c r="A16" s="96">
        <v>1</v>
      </c>
      <c r="B16" s="96" t="s">
        <v>32</v>
      </c>
      <c r="C16" s="96" t="s">
        <v>35</v>
      </c>
      <c r="D16" s="96">
        <v>26125</v>
      </c>
      <c r="E16" s="96" t="s">
        <v>36</v>
      </c>
      <c r="F16" s="96" t="s">
        <v>37</v>
      </c>
      <c r="G16" s="96" t="s">
        <v>38</v>
      </c>
      <c r="H16" s="90" t="s">
        <v>88</v>
      </c>
      <c r="I16" s="97"/>
      <c r="J16" s="99">
        <f>+Sempra_1_Expired!D25</f>
        <v>1.9450000000000001</v>
      </c>
      <c r="K16" s="92">
        <f>(SUM(Sempra_1_Expired!G25:H36)/12)</f>
        <v>2.4591666666666661</v>
      </c>
      <c r="L16" s="101">
        <f>+O16/M16</f>
        <v>-0.51554644808743155</v>
      </c>
      <c r="M16" s="103">
        <f>-Sempra_1_Expired!F37</f>
        <v>91500</v>
      </c>
      <c r="N16" s="103">
        <f>+M16/366</f>
        <v>250</v>
      </c>
      <c r="O16" s="104">
        <f>-Sempra_1_Expired!I37</f>
        <v>-47172.499999999985</v>
      </c>
      <c r="P16" s="95">
        <f>-Sempra_1_Expired!J37</f>
        <v>-47172.499999999985</v>
      </c>
      <c r="Q16" s="95">
        <f>-Sempra_1_Expired!K37</f>
        <v>0</v>
      </c>
    </row>
    <row r="17" spans="1:17" hidden="1" x14ac:dyDescent="0.2">
      <c r="A17" s="96"/>
      <c r="B17" s="96"/>
      <c r="C17" s="96"/>
      <c r="D17" s="96"/>
      <c r="E17" s="97"/>
      <c r="F17" s="97"/>
      <c r="G17" s="97"/>
      <c r="H17" s="97"/>
      <c r="I17" s="97"/>
      <c r="J17" s="97"/>
      <c r="K17" s="107"/>
      <c r="L17" s="99">
        <f>+L15+L16</f>
        <v>-7.6311475409836016E-2</v>
      </c>
      <c r="M17" s="108">
        <f>+M11+M12</f>
        <v>0</v>
      </c>
      <c r="N17" s="108">
        <f>+N11+N12</f>
        <v>0</v>
      </c>
      <c r="O17" s="109">
        <f>+O15+O16</f>
        <v>-6982.4999999999927</v>
      </c>
      <c r="P17" s="109">
        <f>+P15+P16</f>
        <v>-6982.4999999999927</v>
      </c>
      <c r="Q17" s="109">
        <f>+Q15+Q16</f>
        <v>0</v>
      </c>
    </row>
    <row r="18" spans="1:17" ht="9.9" hidden="1" customHeight="1" x14ac:dyDescent="0.2">
      <c r="A18" s="96"/>
      <c r="B18" s="96"/>
      <c r="C18" s="97"/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8"/>
      <c r="Q18" s="98"/>
    </row>
    <row r="19" spans="1:17" hidden="1" x14ac:dyDescent="0.2">
      <c r="A19" s="96">
        <v>2</v>
      </c>
      <c r="B19" s="96" t="s">
        <v>32</v>
      </c>
      <c r="C19" s="96" t="s">
        <v>33</v>
      </c>
      <c r="D19" s="96"/>
      <c r="E19" s="96" t="s">
        <v>34</v>
      </c>
      <c r="F19" s="97"/>
      <c r="G19" s="96" t="s">
        <v>87</v>
      </c>
      <c r="H19" s="90" t="s">
        <v>83</v>
      </c>
      <c r="I19" s="97"/>
      <c r="J19" s="92">
        <f>+Avista_2_Expired!D9</f>
        <v>2.0049999999999999</v>
      </c>
      <c r="K19" s="92">
        <f>(SUM(Avista_2_Expired!G9:G23)+SUM(Avista_2_Expired!H9:H23))/15</f>
        <v>2.0893333333333342</v>
      </c>
      <c r="L19" s="99">
        <f>-O19/M19</f>
        <v>8.5262582056892869E-2</v>
      </c>
      <c r="M19" s="103">
        <f>-Avista_2_Expired!F24</f>
        <v>1142500</v>
      </c>
      <c r="N19" s="103">
        <f>+M19/457</f>
        <v>2500</v>
      </c>
      <c r="O19" s="104">
        <f>-Avista_2_Expired!I24</f>
        <v>-97412.500000000102</v>
      </c>
      <c r="P19" s="95">
        <f>-Avista_2_Expired!J24</f>
        <v>-97412.500000000102</v>
      </c>
      <c r="Q19" s="95">
        <f>-Avista_2_Expired!K24</f>
        <v>0</v>
      </c>
    </row>
    <row r="20" spans="1:17" hidden="1" x14ac:dyDescent="0.2">
      <c r="A20" s="96">
        <v>2</v>
      </c>
      <c r="B20" s="96" t="s">
        <v>32</v>
      </c>
      <c r="C20" s="96" t="s">
        <v>87</v>
      </c>
      <c r="D20" s="96"/>
      <c r="E20" s="96" t="s">
        <v>36</v>
      </c>
      <c r="F20" s="96" t="s">
        <v>37</v>
      </c>
      <c r="G20" s="96" t="s">
        <v>33</v>
      </c>
      <c r="H20" s="90" t="s">
        <v>83</v>
      </c>
      <c r="I20" s="97"/>
      <c r="J20" s="92">
        <f>+Avista_2_Expired!D28</f>
        <v>2.0049999999999999</v>
      </c>
      <c r="K20" s="92">
        <f>(SUM(Avista_2_Expired!G28:G42)+SUM(Avista_2_Expired!H28:H42))/15</f>
        <v>2.036</v>
      </c>
      <c r="L20" s="101">
        <f>+O20/M20</f>
        <v>-3.2899343544857858E-2</v>
      </c>
      <c r="M20" s="103">
        <f>-Avista_2_Expired!F43</f>
        <v>-1142500</v>
      </c>
      <c r="N20" s="103">
        <f>+M20/457</f>
        <v>-2500</v>
      </c>
      <c r="O20" s="104">
        <f>-Avista_2_Expired!I43</f>
        <v>37587.500000000102</v>
      </c>
      <c r="P20" s="95">
        <f>-Avista_2_Expired!J43</f>
        <v>37587.500000000102</v>
      </c>
      <c r="Q20" s="95">
        <f>-Avista_2_Expired!K43</f>
        <v>0</v>
      </c>
    </row>
    <row r="21" spans="1:17" hidden="1" x14ac:dyDescent="0.2">
      <c r="A21" s="96"/>
      <c r="B21" s="96"/>
      <c r="C21" s="97"/>
      <c r="D21" s="96"/>
      <c r="E21" s="97"/>
      <c r="F21" s="97"/>
      <c r="G21" s="97"/>
      <c r="H21" s="97"/>
      <c r="I21" s="97"/>
      <c r="J21" s="97"/>
      <c r="K21" s="97"/>
      <c r="L21" s="99">
        <f>+L19+L20</f>
        <v>5.2363238512035011E-2</v>
      </c>
      <c r="M21" s="108">
        <f>+M20+M19</f>
        <v>0</v>
      </c>
      <c r="N21" s="108">
        <f>+N20+N19</f>
        <v>0</v>
      </c>
      <c r="O21" s="109">
        <f>+O20+O19</f>
        <v>-59825</v>
      </c>
      <c r="P21" s="109">
        <f>+P20+P19</f>
        <v>-59825</v>
      </c>
      <c r="Q21" s="109">
        <f>+Q20+Q19</f>
        <v>0</v>
      </c>
    </row>
    <row r="22" spans="1:17" ht="9.9" hidden="1" customHeight="1" x14ac:dyDescent="0.2">
      <c r="A22" s="96"/>
      <c r="B22" s="96"/>
      <c r="C22" s="97"/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8"/>
      <c r="Q22" s="98"/>
    </row>
    <row r="23" spans="1:17" hidden="1" x14ac:dyDescent="0.2">
      <c r="A23" s="96">
        <v>2</v>
      </c>
      <c r="B23" s="96" t="s">
        <v>32</v>
      </c>
      <c r="C23" s="96" t="s">
        <v>38</v>
      </c>
      <c r="D23" s="96"/>
      <c r="E23" s="96" t="s">
        <v>34</v>
      </c>
      <c r="F23" s="97"/>
      <c r="G23" s="96" t="s">
        <v>87</v>
      </c>
      <c r="H23" s="90" t="s">
        <v>83</v>
      </c>
      <c r="I23" s="97"/>
      <c r="J23" s="92">
        <f>+Sempra_2_Expired!D9</f>
        <v>2.1</v>
      </c>
      <c r="K23" s="92">
        <f>(SUM(Sempra_2_Expired!G9:G23)+SUM(Sempra_2_Expired!H9:H23))/15</f>
        <v>2.0893333333333342</v>
      </c>
      <c r="L23" s="99">
        <f>-O23/M23</f>
        <v>-9.7374179431073109E-3</v>
      </c>
      <c r="M23" s="103">
        <f>-Sempra_2_Expired!F24</f>
        <v>1142500</v>
      </c>
      <c r="N23" s="103">
        <f>+M23/457</f>
        <v>2500</v>
      </c>
      <c r="O23" s="104">
        <f>-Sempra_2_Expired!I24</f>
        <v>11125.000000000104</v>
      </c>
      <c r="P23" s="95">
        <f>-Sempra_2_Expired!J24</f>
        <v>11125.000000000104</v>
      </c>
      <c r="Q23" s="95">
        <f>-Sempra_2_Expired!K24</f>
        <v>0</v>
      </c>
    </row>
    <row r="24" spans="1:17" hidden="1" x14ac:dyDescent="0.2">
      <c r="A24" s="96">
        <v>2</v>
      </c>
      <c r="B24" s="96" t="s">
        <v>32</v>
      </c>
      <c r="C24" s="96" t="s">
        <v>87</v>
      </c>
      <c r="D24" s="96"/>
      <c r="E24" s="96" t="s">
        <v>36</v>
      </c>
      <c r="F24" s="96" t="s">
        <v>37</v>
      </c>
      <c r="G24" s="96" t="s">
        <v>38</v>
      </c>
      <c r="H24" s="90" t="s">
        <v>83</v>
      </c>
      <c r="I24" s="97"/>
      <c r="J24" s="92">
        <f>+Sempra_2_Expired!D28</f>
        <v>2.1</v>
      </c>
      <c r="K24" s="92">
        <f>(SUM(Sempra_2_Expired!G28:G42)+SUM(Sempra_2_Expired!H28:H42))/15</f>
        <v>2.036</v>
      </c>
      <c r="L24" s="101">
        <f>+O24/M24</f>
        <v>6.2100656455142372E-2</v>
      </c>
      <c r="M24" s="110">
        <f>-Sempra_2_Expired!F43</f>
        <v>-1142500</v>
      </c>
      <c r="N24" s="110">
        <f>+M24/457</f>
        <v>-2500</v>
      </c>
      <c r="O24" s="111">
        <f>-Sempra_2_Expired!I43</f>
        <v>-70950.00000000016</v>
      </c>
      <c r="P24" s="112">
        <f>-Sempra_2_Expired!J43</f>
        <v>-70950.00000000016</v>
      </c>
      <c r="Q24" s="112">
        <f>-Sempra_2_Expired!K43</f>
        <v>0</v>
      </c>
    </row>
    <row r="25" spans="1:17" hidden="1" x14ac:dyDescent="0.2">
      <c r="A25" s="96"/>
      <c r="B25" s="96"/>
      <c r="C25" s="96"/>
      <c r="D25" s="96"/>
      <c r="E25" s="96"/>
      <c r="F25" s="96"/>
      <c r="G25" s="96"/>
      <c r="H25" s="97"/>
      <c r="I25" s="97"/>
      <c r="J25" s="92"/>
      <c r="K25" s="92"/>
      <c r="L25" s="99">
        <f>+L23+L24</f>
        <v>5.236323851203506E-2</v>
      </c>
      <c r="M25" s="103">
        <f>+M24+M23</f>
        <v>0</v>
      </c>
      <c r="N25" s="103">
        <f>+N24+N23</f>
        <v>0</v>
      </c>
      <c r="O25" s="113">
        <f>+O24+O23</f>
        <v>-59825.000000000058</v>
      </c>
      <c r="P25" s="113">
        <f>+P24+P23</f>
        <v>-59825.000000000058</v>
      </c>
      <c r="Q25" s="113">
        <f>+Q24+Q23</f>
        <v>0</v>
      </c>
    </row>
    <row r="26" spans="1:17" ht="9.9" hidden="1" customHeight="1" x14ac:dyDescent="0.2">
      <c r="A26" s="96"/>
      <c r="B26" s="96"/>
      <c r="C26" s="96"/>
      <c r="D26" s="96"/>
      <c r="E26" s="96"/>
      <c r="F26" s="96"/>
      <c r="G26" s="96"/>
      <c r="H26" s="97"/>
      <c r="I26" s="97"/>
      <c r="J26" s="92"/>
      <c r="K26" s="92"/>
      <c r="L26" s="92"/>
      <c r="M26" s="103"/>
      <c r="N26" s="103"/>
      <c r="O26" s="104"/>
      <c r="P26" s="95"/>
      <c r="Q26" s="95"/>
    </row>
    <row r="27" spans="1:17" hidden="1" x14ac:dyDescent="0.2">
      <c r="A27" s="96">
        <v>2</v>
      </c>
      <c r="B27" s="96" t="s">
        <v>32</v>
      </c>
      <c r="C27" s="96" t="s">
        <v>38</v>
      </c>
      <c r="D27" s="96"/>
      <c r="E27" s="96" t="s">
        <v>34</v>
      </c>
      <c r="F27" s="97"/>
      <c r="G27" s="96" t="s">
        <v>87</v>
      </c>
      <c r="H27" s="90" t="s">
        <v>84</v>
      </c>
      <c r="I27" s="97"/>
      <c r="J27" s="92">
        <v>2.0099999999999998</v>
      </c>
      <c r="K27" s="92">
        <f>(SUM(Sempra_2.1_Expired!G9:G16)+SUM(Sempra_2.1_Expired!H9:H19))/8</f>
        <v>2.3775000000000004</v>
      </c>
      <c r="L27" s="99">
        <f>-O27/M27</f>
        <v>0.36506122448979617</v>
      </c>
      <c r="M27" s="103">
        <f>-Sempra_2.1_Expired!F17</f>
        <v>2450000</v>
      </c>
      <c r="N27" s="103">
        <f>+M27/245</f>
        <v>10000</v>
      </c>
      <c r="O27" s="104">
        <f>-Sempra_2.1_Expired!I17</f>
        <v>-894400.00000000058</v>
      </c>
      <c r="P27" s="95">
        <f>-Sempra_2.1_Expired!J17</f>
        <v>-894400.00000000058</v>
      </c>
      <c r="Q27" s="95">
        <f>-Sempra_2.1_Expired!K17</f>
        <v>0</v>
      </c>
    </row>
    <row r="28" spans="1:17" hidden="1" x14ac:dyDescent="0.2">
      <c r="A28" s="96">
        <v>2</v>
      </c>
      <c r="B28" s="96" t="s">
        <v>32</v>
      </c>
      <c r="C28" s="96" t="s">
        <v>87</v>
      </c>
      <c r="D28" s="96"/>
      <c r="E28" s="96" t="s">
        <v>36</v>
      </c>
      <c r="F28" s="96" t="s">
        <v>37</v>
      </c>
      <c r="G28" s="96" t="s">
        <v>38</v>
      </c>
      <c r="H28" s="90" t="s">
        <v>84</v>
      </c>
      <c r="I28" s="97"/>
      <c r="J28" s="92">
        <v>2.0099999999999998</v>
      </c>
      <c r="K28" s="92">
        <f>(SUM(Sempra_2.1_Expired!G21:G28)+SUM(Sempra_2.1_Expired!H21:H28))/8</f>
        <v>2.2675000000000001</v>
      </c>
      <c r="L28" s="101">
        <f>+O28/M28</f>
        <v>-0.25832653061224503</v>
      </c>
      <c r="M28" s="103">
        <f>-Sempra_2.1_Expired!F29</f>
        <v>-2450000</v>
      </c>
      <c r="N28" s="103">
        <f>+M28/245</f>
        <v>-10000</v>
      </c>
      <c r="O28" s="104">
        <f>-Sempra_2.1_Expired!I29</f>
        <v>632900.00000000035</v>
      </c>
      <c r="P28" s="95">
        <f>-Sempra_2.1_Expired!J29</f>
        <v>632900.00000000035</v>
      </c>
      <c r="Q28" s="95">
        <f>-Sempra_2.1_Expired!K29</f>
        <v>0</v>
      </c>
    </row>
    <row r="29" spans="1:17" hidden="1" x14ac:dyDescent="0.2">
      <c r="A29" s="96"/>
      <c r="B29" s="96"/>
      <c r="C29" s="97"/>
      <c r="D29" s="96"/>
      <c r="E29" s="97"/>
      <c r="F29" s="97"/>
      <c r="G29" s="97"/>
      <c r="H29" s="97"/>
      <c r="I29" s="97"/>
      <c r="J29" s="97"/>
      <c r="K29" s="97"/>
      <c r="L29" s="99">
        <f t="shared" ref="L29:Q29" si="0">+L27+L28</f>
        <v>0.10673469387755113</v>
      </c>
      <c r="M29" s="108">
        <f t="shared" si="0"/>
        <v>0</v>
      </c>
      <c r="N29" s="108">
        <f t="shared" si="0"/>
        <v>0</v>
      </c>
      <c r="O29" s="109">
        <f t="shared" si="0"/>
        <v>-261500.00000000023</v>
      </c>
      <c r="P29" s="109">
        <f t="shared" si="0"/>
        <v>-261500.00000000023</v>
      </c>
      <c r="Q29" s="109">
        <f t="shared" si="0"/>
        <v>0</v>
      </c>
    </row>
    <row r="30" spans="1:17" ht="9.9" hidden="1" customHeight="1" x14ac:dyDescent="0.2">
      <c r="A30" s="96"/>
      <c r="B30" s="96"/>
      <c r="C30" s="97"/>
      <c r="D30" s="96"/>
      <c r="E30" s="97"/>
      <c r="F30" s="97"/>
      <c r="G30" s="97"/>
      <c r="H30" s="97"/>
      <c r="I30" s="97"/>
      <c r="J30" s="97"/>
      <c r="K30" s="97"/>
      <c r="L30" s="97"/>
      <c r="M30" s="107"/>
      <c r="N30" s="107"/>
      <c r="O30" s="113"/>
      <c r="P30" s="114"/>
      <c r="Q30" s="114"/>
    </row>
    <row r="31" spans="1:17" x14ac:dyDescent="0.2">
      <c r="A31" s="96">
        <v>2</v>
      </c>
      <c r="B31" s="96" t="s">
        <v>32</v>
      </c>
      <c r="C31" s="96" t="s">
        <v>39</v>
      </c>
      <c r="D31" s="96"/>
      <c r="E31" s="96" t="s">
        <v>102</v>
      </c>
      <c r="F31" s="97"/>
      <c r="G31" s="96" t="s">
        <v>87</v>
      </c>
      <c r="H31" s="90" t="s">
        <v>112</v>
      </c>
      <c r="I31" s="96"/>
      <c r="J31" s="92">
        <v>2.3650000000000002</v>
      </c>
      <c r="K31" s="92">
        <f>(SUM(RMTC_2!G9:G20)+SUM(RMTC_2!H9:H20))/12</f>
        <v>3.71475</v>
      </c>
      <c r="L31" s="99">
        <f>-O31/M31</f>
        <v>1.3527677595628411</v>
      </c>
      <c r="M31" s="115">
        <f>-RMTC_2!F22</f>
        <v>5490000</v>
      </c>
      <c r="N31" s="115">
        <f>+M31/366</f>
        <v>15000</v>
      </c>
      <c r="O31" s="104">
        <f>-RMTC_2!I22</f>
        <v>-7426694.9999999981</v>
      </c>
      <c r="P31" s="95">
        <f>-RMTC_2!J22</f>
        <v>-3703049.9999999991</v>
      </c>
      <c r="Q31" s="95">
        <f>-RMTC_2!K22</f>
        <v>-3723644.9999999986</v>
      </c>
    </row>
    <row r="32" spans="1:17" x14ac:dyDescent="0.2">
      <c r="A32" s="96">
        <v>2</v>
      </c>
      <c r="B32" s="96" t="s">
        <v>32</v>
      </c>
      <c r="C32" s="96" t="s">
        <v>87</v>
      </c>
      <c r="D32" s="96"/>
      <c r="E32" s="96" t="s">
        <v>103</v>
      </c>
      <c r="F32" s="96" t="s">
        <v>37</v>
      </c>
      <c r="G32" s="96" t="s">
        <v>39</v>
      </c>
      <c r="H32" s="90" t="s">
        <v>112</v>
      </c>
      <c r="I32" s="96"/>
      <c r="J32" s="92">
        <v>2.3650000000000002</v>
      </c>
      <c r="K32" s="92">
        <f>(SUM(RMTC_2!G26:G37)+SUM(RMTC_2!H26:H37))/12</f>
        <v>3.7295000000000003</v>
      </c>
      <c r="L32" s="101">
        <f>+O32/M32</f>
        <v>-1.3674571948998178</v>
      </c>
      <c r="M32" s="116">
        <f>-RMTC_2!F39</f>
        <v>-5490000</v>
      </c>
      <c r="N32" s="116">
        <f>+M32/366</f>
        <v>-15000</v>
      </c>
      <c r="O32" s="111">
        <f>-RMTC_2!I39</f>
        <v>7507339.9999999991</v>
      </c>
      <c r="P32" s="112">
        <f>-RMTC_2!J39</f>
        <v>3988799.9999999991</v>
      </c>
      <c r="Q32" s="112">
        <f>-RMTC_2!K39</f>
        <v>3518539.9999999991</v>
      </c>
    </row>
    <row r="33" spans="1:17" x14ac:dyDescent="0.2">
      <c r="A33" s="96"/>
      <c r="B33" s="96"/>
      <c r="C33" s="97"/>
      <c r="D33" s="96"/>
      <c r="E33" s="97"/>
      <c r="F33" s="97"/>
      <c r="G33" s="97"/>
      <c r="H33" s="97"/>
      <c r="I33" s="96"/>
      <c r="J33" s="97"/>
      <c r="K33" s="97"/>
      <c r="L33" s="99">
        <f t="shared" ref="L33:Q33" si="1">+L31+L32</f>
        <v>-1.4689435336976642E-2</v>
      </c>
      <c r="M33" s="107">
        <f t="shared" si="1"/>
        <v>0</v>
      </c>
      <c r="N33" s="107">
        <f t="shared" si="1"/>
        <v>0</v>
      </c>
      <c r="O33" s="113">
        <f t="shared" si="1"/>
        <v>80645.000000000931</v>
      </c>
      <c r="P33" s="113">
        <f t="shared" si="1"/>
        <v>285750</v>
      </c>
      <c r="Q33" s="113">
        <f t="shared" si="1"/>
        <v>-205104.99999999953</v>
      </c>
    </row>
    <row r="34" spans="1:17" ht="9.9" customHeight="1" x14ac:dyDescent="0.2">
      <c r="A34" s="96"/>
      <c r="B34" s="96"/>
      <c r="C34" s="97"/>
      <c r="D34" s="96"/>
      <c r="E34" s="97"/>
      <c r="F34" s="97"/>
      <c r="G34" s="97"/>
      <c r="H34" s="97"/>
      <c r="I34" s="96"/>
      <c r="J34" s="97"/>
      <c r="K34" s="97"/>
      <c r="L34" s="97"/>
      <c r="M34" s="97"/>
      <c r="N34" s="97"/>
      <c r="O34" s="97"/>
      <c r="P34" s="97"/>
      <c r="Q34" s="97"/>
    </row>
    <row r="35" spans="1:17" ht="20.399999999999999" hidden="1" x14ac:dyDescent="0.2">
      <c r="A35" s="96">
        <v>6</v>
      </c>
      <c r="B35" s="96" t="s">
        <v>40</v>
      </c>
      <c r="C35" s="96" t="s">
        <v>41</v>
      </c>
      <c r="D35" s="96">
        <v>25834</v>
      </c>
      <c r="E35" s="96" t="s">
        <v>36</v>
      </c>
      <c r="F35" s="96" t="s">
        <v>37</v>
      </c>
      <c r="G35" s="90" t="s">
        <v>42</v>
      </c>
      <c r="H35" s="90" t="s">
        <v>86</v>
      </c>
      <c r="I35" s="96"/>
      <c r="J35" s="92">
        <v>2.3199999999999998</v>
      </c>
      <c r="K35" s="92">
        <f>SUM(Elpaso_6!G9:H13)/5</f>
        <v>3.8247999999999998</v>
      </c>
      <c r="L35" s="99">
        <f>O35/M35</f>
        <v>-0.52713333333333334</v>
      </c>
      <c r="M35" s="103">
        <f>-Elpaso_6!F15</f>
        <v>15000000</v>
      </c>
      <c r="N35" s="117">
        <f>+M35/153</f>
        <v>98039.215686274503</v>
      </c>
      <c r="O35" s="104">
        <f>-Elpaso_6!I15</f>
        <v>-7907000</v>
      </c>
      <c r="P35" s="118">
        <f>-Elpaso_6!J15</f>
        <v>0</v>
      </c>
      <c r="Q35" s="104">
        <f>-Elpaso_6!K15</f>
        <v>-7907000</v>
      </c>
    </row>
    <row r="36" spans="1:17" ht="20.399999999999999" hidden="1" x14ac:dyDescent="0.2">
      <c r="A36" s="96">
        <v>6</v>
      </c>
      <c r="B36" s="96" t="s">
        <v>40</v>
      </c>
      <c r="C36" s="96" t="s">
        <v>41</v>
      </c>
      <c r="D36" s="96"/>
      <c r="E36" s="96" t="s">
        <v>34</v>
      </c>
      <c r="F36" s="96" t="s">
        <v>37</v>
      </c>
      <c r="G36" s="90" t="s">
        <v>42</v>
      </c>
      <c r="H36" s="90" t="s">
        <v>86</v>
      </c>
      <c r="I36" s="96"/>
      <c r="J36" s="92">
        <v>2.3199999999999998</v>
      </c>
      <c r="K36" s="92">
        <f>SUM(Elpaso_6!G9:H13)/5</f>
        <v>3.8247999999999998</v>
      </c>
      <c r="L36" s="126">
        <f>O36/M36</f>
        <v>0.52713333333333334</v>
      </c>
      <c r="M36" s="110">
        <f>-Elpaso_6!F23</f>
        <v>15000000</v>
      </c>
      <c r="N36" s="127">
        <f>+M36/153</f>
        <v>98039.215686274503</v>
      </c>
      <c r="O36" s="111">
        <f>Elpaso_6!I15</f>
        <v>7907000</v>
      </c>
      <c r="P36" s="128">
        <f>-Elpaso_6!J26</f>
        <v>0</v>
      </c>
      <c r="Q36" s="111">
        <f>Elpaso_6!K15</f>
        <v>7907000</v>
      </c>
    </row>
    <row r="37" spans="1:17" hidden="1" x14ac:dyDescent="0.2">
      <c r="A37" s="96"/>
      <c r="B37" s="96"/>
      <c r="C37" s="96"/>
      <c r="D37" s="96"/>
      <c r="E37" s="96"/>
      <c r="F37" s="96"/>
      <c r="G37" s="90"/>
      <c r="H37" s="90"/>
      <c r="I37" s="96"/>
      <c r="J37" s="92"/>
      <c r="K37" s="92"/>
      <c r="L37" s="99">
        <f>+L35-L36</f>
        <v>-1.0542666666666667</v>
      </c>
      <c r="M37" s="103">
        <f>+M36+M35</f>
        <v>30000000</v>
      </c>
      <c r="N37" s="103">
        <f>+N36+N35</f>
        <v>196078.43137254901</v>
      </c>
      <c r="O37" s="129">
        <f>+O36+O35</f>
        <v>0</v>
      </c>
      <c r="P37" s="130">
        <f>+P36+P35</f>
        <v>0</v>
      </c>
      <c r="Q37" s="129">
        <f>+Q36+Q35</f>
        <v>0</v>
      </c>
    </row>
    <row r="38" spans="1:17" hidden="1" x14ac:dyDescent="0.2">
      <c r="A38" s="96"/>
      <c r="B38" s="96"/>
      <c r="C38" s="96"/>
      <c r="D38" s="96"/>
      <c r="E38" s="96"/>
      <c r="F38" s="96"/>
      <c r="G38" s="90"/>
      <c r="H38" s="90"/>
      <c r="I38" s="96"/>
      <c r="J38" s="92"/>
      <c r="K38" s="92"/>
      <c r="L38" s="99"/>
      <c r="M38" s="103"/>
      <c r="N38" s="135"/>
      <c r="O38" s="129"/>
      <c r="P38" s="130"/>
      <c r="Q38" s="129"/>
    </row>
    <row r="39" spans="1:17" hidden="1" x14ac:dyDescent="0.2">
      <c r="A39" s="96">
        <v>8</v>
      </c>
      <c r="B39" s="96" t="s">
        <v>40</v>
      </c>
      <c r="C39" s="96" t="s">
        <v>89</v>
      </c>
      <c r="D39" s="96">
        <v>105706</v>
      </c>
      <c r="E39" s="96" t="s">
        <v>36</v>
      </c>
      <c r="F39" s="96" t="s">
        <v>45</v>
      </c>
      <c r="G39" s="90"/>
      <c r="H39" s="90" t="s">
        <v>92</v>
      </c>
      <c r="I39" s="90"/>
      <c r="J39" s="92"/>
      <c r="K39" s="99">
        <f>SUM(MEC_8_Expired!H9:H14)/6</f>
        <v>0</v>
      </c>
      <c r="L39" s="99">
        <f>O39/M39</f>
        <v>2.5582608695652174</v>
      </c>
      <c r="M39" s="103">
        <f>-MEC_8_Expired!F15</f>
        <v>-230000</v>
      </c>
      <c r="N39" s="135">
        <f>+M39/182</f>
        <v>-1263.7362637362637</v>
      </c>
      <c r="O39" s="104">
        <f>-MEC_8_Expired!I15</f>
        <v>-588400</v>
      </c>
      <c r="P39" s="118">
        <f>-MEC_8_Expired!J15</f>
        <v>-588400</v>
      </c>
      <c r="Q39" s="104">
        <f>-MEC_8_Expired!K15</f>
        <v>0</v>
      </c>
    </row>
    <row r="40" spans="1:17" hidden="1" x14ac:dyDescent="0.2">
      <c r="A40" s="96">
        <v>8</v>
      </c>
      <c r="B40" s="96" t="s">
        <v>40</v>
      </c>
      <c r="C40" s="96" t="s">
        <v>89</v>
      </c>
      <c r="D40" s="96">
        <v>105706</v>
      </c>
      <c r="E40" s="96" t="s">
        <v>36</v>
      </c>
      <c r="F40" s="96" t="s">
        <v>45</v>
      </c>
      <c r="G40" s="90"/>
      <c r="H40" s="90" t="s">
        <v>92</v>
      </c>
      <c r="I40" s="90"/>
      <c r="J40" s="92"/>
      <c r="K40" s="92">
        <f>SUM(MEC_8_Expired!H20:H25)/6</f>
        <v>0</v>
      </c>
      <c r="L40" s="126">
        <f>O40/M40</f>
        <v>2.6397391304347826</v>
      </c>
      <c r="M40" s="110">
        <f>-MEC_8_Expired!F26</f>
        <v>230000</v>
      </c>
      <c r="N40" s="110">
        <f>+M40/182</f>
        <v>1263.7362637362637</v>
      </c>
      <c r="O40" s="111">
        <f>-MEC_8_Expired!I26</f>
        <v>607140</v>
      </c>
      <c r="P40" s="128">
        <f>-MEC_8_Expired!J26</f>
        <v>607140</v>
      </c>
      <c r="Q40" s="111">
        <f>-MEC_8_Expired!K26</f>
        <v>0</v>
      </c>
    </row>
    <row r="41" spans="1:17" hidden="1" x14ac:dyDescent="0.2">
      <c r="A41" s="96"/>
      <c r="B41" s="96"/>
      <c r="C41" s="96"/>
      <c r="D41" s="96"/>
      <c r="E41" s="96"/>
      <c r="F41" s="96"/>
      <c r="G41" s="90"/>
      <c r="H41" s="90"/>
      <c r="I41" s="90"/>
      <c r="J41" s="92"/>
      <c r="K41" s="92"/>
      <c r="L41" s="99">
        <f>+L39-L40</f>
        <v>-8.1478260869565222E-2</v>
      </c>
      <c r="M41" s="103">
        <f>+M40+M39</f>
        <v>0</v>
      </c>
      <c r="N41" s="103">
        <f>+N40+N39</f>
        <v>0</v>
      </c>
      <c r="O41" s="104">
        <f>+O40+O39</f>
        <v>18740</v>
      </c>
      <c r="P41" s="118">
        <f>+P40+P39</f>
        <v>18740</v>
      </c>
      <c r="Q41" s="104">
        <f>+Q40+Q39</f>
        <v>0</v>
      </c>
    </row>
    <row r="42" spans="1:17" hidden="1" x14ac:dyDescent="0.2">
      <c r="A42" s="96"/>
      <c r="B42" s="96"/>
      <c r="C42" s="96"/>
      <c r="D42" s="96"/>
      <c r="E42" s="96"/>
      <c r="F42" s="96"/>
      <c r="G42" s="90"/>
      <c r="H42" s="90"/>
      <c r="I42" s="90"/>
      <c r="J42" s="92"/>
      <c r="K42" s="92"/>
      <c r="L42" s="99"/>
      <c r="M42" s="103"/>
      <c r="N42" s="135"/>
      <c r="O42" s="104"/>
      <c r="P42" s="118"/>
      <c r="Q42" s="104"/>
    </row>
    <row r="43" spans="1:17" x14ac:dyDescent="0.2">
      <c r="A43" s="96">
        <v>9</v>
      </c>
      <c r="B43" s="96" t="s">
        <v>32</v>
      </c>
      <c r="C43" s="96" t="s">
        <v>96</v>
      </c>
      <c r="D43" s="96"/>
      <c r="E43" s="96" t="s">
        <v>102</v>
      </c>
      <c r="F43" s="97"/>
      <c r="G43" s="96" t="s">
        <v>87</v>
      </c>
      <c r="H43" s="90" t="s">
        <v>85</v>
      </c>
      <c r="I43" s="96"/>
      <c r="J43" s="92">
        <v>3.23</v>
      </c>
      <c r="K43" s="92">
        <f>(SUM(ENA_9!G9:G20)+SUM(ENA_9!H9:H20))/12</f>
        <v>4.4399999999999986</v>
      </c>
      <c r="L43" s="99">
        <f>-O43/M43</f>
        <v>1.2082452054794521</v>
      </c>
      <c r="M43" s="115">
        <f>-ENA_9!F22</f>
        <v>1825000</v>
      </c>
      <c r="N43" s="115">
        <f>+M43/365</f>
        <v>5000</v>
      </c>
      <c r="O43" s="104">
        <f>-ENA_9!I22</f>
        <v>-2205047.5</v>
      </c>
      <c r="P43" s="95">
        <f>-ENA_9!J22</f>
        <v>0</v>
      </c>
      <c r="Q43" s="95">
        <f>-ENA_9!K22</f>
        <v>-2205047.5</v>
      </c>
    </row>
    <row r="44" spans="1:17" x14ac:dyDescent="0.2">
      <c r="A44" s="96">
        <v>9</v>
      </c>
      <c r="B44" s="96" t="s">
        <v>32</v>
      </c>
      <c r="C44" s="96" t="s">
        <v>87</v>
      </c>
      <c r="D44" s="96"/>
      <c r="E44" s="96" t="s">
        <v>103</v>
      </c>
      <c r="F44" s="96" t="s">
        <v>37</v>
      </c>
      <c r="G44" s="96" t="s">
        <v>96</v>
      </c>
      <c r="H44" s="90" t="s">
        <v>85</v>
      </c>
      <c r="I44" s="96"/>
      <c r="J44" s="92">
        <v>3.23</v>
      </c>
      <c r="K44" s="92">
        <f>(SUM(ENA_9!G26:G37)+SUM(ENA_9!H26:H37))/12</f>
        <v>4.3860416666666664</v>
      </c>
      <c r="L44" s="101">
        <f>+O44/M44</f>
        <v>-1.1541242009132417</v>
      </c>
      <c r="M44" s="116">
        <f>-ENA_9!F39</f>
        <v>-1825000</v>
      </c>
      <c r="N44" s="116">
        <f>+M44/365</f>
        <v>-5000</v>
      </c>
      <c r="O44" s="111">
        <f>-ENA_9!I39</f>
        <v>2106276.666666666</v>
      </c>
      <c r="P44" s="112">
        <f>-ENA_9!J39</f>
        <v>0</v>
      </c>
      <c r="Q44" s="112">
        <f>-ENA_9!K39</f>
        <v>2106276.666666666</v>
      </c>
    </row>
    <row r="45" spans="1:17" x14ac:dyDescent="0.2">
      <c r="A45" s="96"/>
      <c r="B45" s="96"/>
      <c r="C45" s="97"/>
      <c r="D45" s="96"/>
      <c r="E45" s="97"/>
      <c r="F45" s="97"/>
      <c r="G45" s="97"/>
      <c r="H45" s="97"/>
      <c r="I45" s="96"/>
      <c r="J45" s="97"/>
      <c r="K45" s="97"/>
      <c r="L45" s="99">
        <f t="shared" ref="L45:Q45" si="2">+L43+L44</f>
        <v>5.4121004566210384E-2</v>
      </c>
      <c r="M45" s="107">
        <f t="shared" si="2"/>
        <v>0</v>
      </c>
      <c r="N45" s="107">
        <f t="shared" si="2"/>
        <v>0</v>
      </c>
      <c r="O45" s="113">
        <f t="shared" si="2"/>
        <v>-98770.833333333954</v>
      </c>
      <c r="P45" s="113">
        <f t="shared" si="2"/>
        <v>0</v>
      </c>
      <c r="Q45" s="113">
        <f t="shared" si="2"/>
        <v>-98770.833333333954</v>
      </c>
    </row>
    <row r="46" spans="1:17" x14ac:dyDescent="0.2">
      <c r="A46" s="96"/>
      <c r="B46" s="96"/>
      <c r="C46" s="97"/>
      <c r="D46" s="96"/>
      <c r="E46" s="97"/>
      <c r="F46" s="97"/>
      <c r="G46" s="97"/>
      <c r="H46" s="97"/>
      <c r="I46" s="96"/>
      <c r="J46" s="97"/>
      <c r="K46" s="97"/>
      <c r="L46" s="99"/>
      <c r="M46" s="107"/>
      <c r="N46" s="156"/>
      <c r="O46" s="113"/>
      <c r="P46" s="113"/>
      <c r="Q46" s="113"/>
    </row>
    <row r="47" spans="1:17" hidden="1" x14ac:dyDescent="0.2">
      <c r="A47" s="96"/>
      <c r="B47" s="96"/>
      <c r="C47" s="97"/>
      <c r="D47" s="96"/>
      <c r="E47" s="97"/>
      <c r="F47" s="97"/>
      <c r="G47" s="97"/>
      <c r="H47" s="97"/>
      <c r="I47" s="96"/>
      <c r="J47" s="97"/>
      <c r="K47" s="97"/>
      <c r="L47" s="99"/>
      <c r="M47" s="107"/>
      <c r="N47" s="156"/>
      <c r="O47" s="113"/>
      <c r="P47" s="113"/>
      <c r="Q47" s="113"/>
    </row>
    <row r="48" spans="1:17" hidden="1" x14ac:dyDescent="0.2">
      <c r="A48" s="96">
        <v>10</v>
      </c>
      <c r="B48" s="96" t="s">
        <v>32</v>
      </c>
      <c r="C48" s="96" t="s">
        <v>99</v>
      </c>
      <c r="D48" s="96"/>
      <c r="E48" s="96" t="s">
        <v>102</v>
      </c>
      <c r="F48" s="97"/>
      <c r="G48" s="96" t="s">
        <v>87</v>
      </c>
      <c r="H48" s="90" t="s">
        <v>85</v>
      </c>
      <c r="I48" s="96"/>
      <c r="J48" s="92">
        <v>3</v>
      </c>
      <c r="K48" s="92" t="e">
        <f>(SUM('ENA_10-Expired'!G9:G20)+SUM('ENA_10-Expired'!H9:H20))/12</f>
        <v>#REF!</v>
      </c>
      <c r="L48" s="99">
        <v>0.1</v>
      </c>
      <c r="M48" s="115"/>
      <c r="N48" s="115">
        <f>+M48/365</f>
        <v>0</v>
      </c>
      <c r="O48" s="111">
        <f>-'ENA_10-Expired'!I22</f>
        <v>-182500</v>
      </c>
      <c r="P48" s="111">
        <f>+O48</f>
        <v>-182500</v>
      </c>
      <c r="Q48" s="111"/>
    </row>
    <row r="49" spans="1:17" hidden="1" x14ac:dyDescent="0.2">
      <c r="A49" s="96"/>
      <c r="B49" s="96"/>
      <c r="C49" s="97"/>
      <c r="D49" s="96"/>
      <c r="E49" s="97"/>
      <c r="F49" s="97"/>
      <c r="G49" s="97"/>
      <c r="H49" s="97"/>
      <c r="I49" s="96"/>
      <c r="J49" s="97"/>
      <c r="K49" s="97"/>
      <c r="L49" s="99"/>
      <c r="M49" s="107"/>
      <c r="N49" s="107"/>
      <c r="O49" s="113">
        <f>+O48</f>
        <v>-182500</v>
      </c>
      <c r="P49" s="113">
        <f>+P48</f>
        <v>-182500</v>
      </c>
      <c r="Q49" s="113">
        <f>+Q48</f>
        <v>0</v>
      </c>
    </row>
    <row r="50" spans="1:17" hidden="1" x14ac:dyDescent="0.2">
      <c r="A50" s="96"/>
      <c r="B50" s="96"/>
      <c r="C50" s="97"/>
      <c r="D50" s="96"/>
      <c r="E50" s="97"/>
      <c r="F50" s="97"/>
      <c r="G50" s="97"/>
      <c r="H50" s="97"/>
      <c r="I50" s="96"/>
      <c r="J50" s="97"/>
      <c r="K50" s="97"/>
      <c r="L50" s="99"/>
      <c r="M50" s="107"/>
      <c r="N50" s="156"/>
      <c r="O50" s="113"/>
      <c r="P50" s="113"/>
      <c r="Q50" s="113"/>
    </row>
    <row r="51" spans="1:17" hidden="1" x14ac:dyDescent="0.2">
      <c r="A51" s="96"/>
      <c r="B51" s="96"/>
      <c r="C51" s="97"/>
      <c r="D51" s="96"/>
      <c r="E51" s="97"/>
      <c r="F51" s="97"/>
      <c r="G51" s="97"/>
      <c r="H51" s="97"/>
      <c r="I51" s="96"/>
      <c r="J51" s="97"/>
      <c r="K51" s="97"/>
      <c r="L51" s="99"/>
      <c r="M51" s="107"/>
      <c r="N51" s="156"/>
      <c r="O51" s="113"/>
      <c r="P51" s="113"/>
      <c r="Q51" s="113"/>
    </row>
    <row r="52" spans="1:17" x14ac:dyDescent="0.2">
      <c r="A52" s="96">
        <v>11</v>
      </c>
      <c r="B52" s="96" t="s">
        <v>32</v>
      </c>
      <c r="C52" s="96" t="s">
        <v>96</v>
      </c>
      <c r="D52" s="96"/>
      <c r="E52" s="96" t="s">
        <v>102</v>
      </c>
      <c r="F52" s="97"/>
      <c r="G52" s="96" t="s">
        <v>87</v>
      </c>
      <c r="H52" s="90" t="s">
        <v>85</v>
      </c>
      <c r="I52" s="96"/>
      <c r="J52" s="92">
        <v>3.74</v>
      </c>
      <c r="K52" s="92">
        <f>(SUM(ENA_11!G9:G20)+SUM(ENA_11!H9:H20))/12</f>
        <v>4.4399999999999986</v>
      </c>
      <c r="L52" s="99">
        <v>0.1</v>
      </c>
      <c r="M52" s="115">
        <f>-ENA_11!F22</f>
        <v>1825000</v>
      </c>
      <c r="N52" s="115">
        <f>+M52/365</f>
        <v>5000</v>
      </c>
      <c r="O52" s="104">
        <f>-ENA_11!I22</f>
        <v>-1274297.4999999991</v>
      </c>
      <c r="P52" s="95">
        <f>-ENA_11!J22</f>
        <v>0</v>
      </c>
      <c r="Q52" s="95">
        <f>-ENA_11!K22</f>
        <v>-1274297.4999999991</v>
      </c>
    </row>
    <row r="53" spans="1:17" x14ac:dyDescent="0.2">
      <c r="A53" s="96">
        <v>11</v>
      </c>
      <c r="B53" s="96" t="s">
        <v>32</v>
      </c>
      <c r="C53" s="96" t="s">
        <v>87</v>
      </c>
      <c r="D53" s="96"/>
      <c r="E53" s="96" t="s">
        <v>103</v>
      </c>
      <c r="F53" s="96" t="s">
        <v>37</v>
      </c>
      <c r="G53" s="96" t="s">
        <v>96</v>
      </c>
      <c r="H53" s="90" t="s">
        <v>85</v>
      </c>
      <c r="I53" s="96"/>
      <c r="J53" s="92">
        <v>3.74</v>
      </c>
      <c r="K53" s="92">
        <f>(SUM(ENA_11!G26:G37)+SUM(ENA_11!H26:H37))/12</f>
        <v>4.3860416666666664</v>
      </c>
      <c r="L53" s="101">
        <f>+O53/M53</f>
        <v>-0.64412420091324152</v>
      </c>
      <c r="M53" s="116">
        <f>-ENA_11!F39</f>
        <v>-1825000</v>
      </c>
      <c r="N53" s="116">
        <f>+M53/365</f>
        <v>-5000</v>
      </c>
      <c r="O53" s="111">
        <f>-ENA_11!I39</f>
        <v>1175526.6666666658</v>
      </c>
      <c r="P53" s="112">
        <f>-ENA_11!J39</f>
        <v>0</v>
      </c>
      <c r="Q53" s="112">
        <f>-ENA_11!K39</f>
        <v>1175526.6666666658</v>
      </c>
    </row>
    <row r="54" spans="1:17" x14ac:dyDescent="0.2">
      <c r="A54" s="96"/>
      <c r="B54" s="96"/>
      <c r="C54" s="97"/>
      <c r="D54" s="96"/>
      <c r="E54" s="97"/>
      <c r="F54" s="97"/>
      <c r="G54" s="97"/>
      <c r="H54" s="97"/>
      <c r="I54" s="96"/>
      <c r="J54" s="97"/>
      <c r="K54" s="97"/>
      <c r="L54" s="99">
        <f t="shared" ref="L54:Q54" si="3">+L52+L53</f>
        <v>-0.54412420091324154</v>
      </c>
      <c r="M54" s="107">
        <f t="shared" si="3"/>
        <v>0</v>
      </c>
      <c r="N54" s="107">
        <f t="shared" si="3"/>
        <v>0</v>
      </c>
      <c r="O54" s="113">
        <f t="shared" si="3"/>
        <v>-98770.833333333256</v>
      </c>
      <c r="P54" s="113">
        <f t="shared" si="3"/>
        <v>0</v>
      </c>
      <c r="Q54" s="113">
        <f t="shared" si="3"/>
        <v>-98770.833333333256</v>
      </c>
    </row>
    <row r="55" spans="1:17" x14ac:dyDescent="0.2">
      <c r="A55" s="96"/>
      <c r="B55" s="96"/>
      <c r="C55" s="97"/>
      <c r="D55" s="96"/>
      <c r="E55" s="97"/>
      <c r="F55" s="97"/>
      <c r="G55" s="97"/>
      <c r="H55" s="97"/>
      <c r="I55" s="96"/>
      <c r="J55" s="97"/>
      <c r="K55" s="97"/>
      <c r="L55" s="99"/>
      <c r="M55" s="107"/>
      <c r="N55" s="156"/>
      <c r="O55" s="113"/>
      <c r="P55" s="113"/>
      <c r="Q55" s="113"/>
    </row>
    <row r="56" spans="1:17" x14ac:dyDescent="0.2">
      <c r="A56" s="96">
        <v>12</v>
      </c>
      <c r="B56" s="96" t="s">
        <v>32</v>
      </c>
      <c r="C56" s="96" t="s">
        <v>96</v>
      </c>
      <c r="D56" s="96" t="s">
        <v>120</v>
      </c>
      <c r="E56" s="96" t="s">
        <v>102</v>
      </c>
      <c r="F56" s="97"/>
      <c r="G56" s="96" t="s">
        <v>87</v>
      </c>
      <c r="H56" s="90" t="s">
        <v>85</v>
      </c>
      <c r="I56" s="180">
        <v>36740</v>
      </c>
      <c r="J56" s="92">
        <v>3.63</v>
      </c>
      <c r="K56" s="92">
        <f>(SUM(ENA_12!G26:G37)+SUM(ENA_12!H26:H37))/12</f>
        <v>4.3860416666666664</v>
      </c>
      <c r="L56" s="99">
        <v>0.1</v>
      </c>
      <c r="M56" s="115">
        <f>-ENA_12!F22</f>
        <v>1825000</v>
      </c>
      <c r="N56" s="115">
        <f>+M56/365</f>
        <v>5000</v>
      </c>
      <c r="O56" s="104">
        <f>-ENA_12!I22</f>
        <v>-1475047.4999999995</v>
      </c>
      <c r="P56" s="95">
        <f>-ENA_12!J22</f>
        <v>0</v>
      </c>
      <c r="Q56" s="95">
        <f>-ENA_12!K22</f>
        <v>-1475047.4999999995</v>
      </c>
    </row>
    <row r="57" spans="1:17" x14ac:dyDescent="0.2">
      <c r="A57" s="96">
        <v>12</v>
      </c>
      <c r="B57" s="96" t="s">
        <v>32</v>
      </c>
      <c r="C57" s="96" t="s">
        <v>87</v>
      </c>
      <c r="D57" s="96"/>
      <c r="E57" s="96" t="s">
        <v>103</v>
      </c>
      <c r="F57" s="96" t="s">
        <v>37</v>
      </c>
      <c r="G57" s="96" t="s">
        <v>96</v>
      </c>
      <c r="H57" s="90" t="s">
        <v>85</v>
      </c>
      <c r="I57" s="96"/>
      <c r="J57" s="92">
        <v>3.63</v>
      </c>
      <c r="K57" s="92">
        <f>(SUM(ENA_12!G26:G37)+SUM(ENA_12!H26:H37))/12</f>
        <v>4.3860416666666664</v>
      </c>
      <c r="L57" s="101">
        <f>+O57/M57</f>
        <v>-0.75412420091324206</v>
      </c>
      <c r="M57" s="116">
        <f>-ENA_12!F39</f>
        <v>-1825000</v>
      </c>
      <c r="N57" s="116">
        <f>+M57/365</f>
        <v>-5000</v>
      </c>
      <c r="O57" s="111">
        <f>-ENA_12!I39</f>
        <v>1376276.6666666667</v>
      </c>
      <c r="P57" s="112">
        <f>-ENA_12!J39</f>
        <v>0</v>
      </c>
      <c r="Q57" s="112">
        <f>-ENA_12!K39</f>
        <v>1376276.6666666667</v>
      </c>
    </row>
    <row r="58" spans="1:17" x14ac:dyDescent="0.2">
      <c r="A58" s="96"/>
      <c r="B58" s="96"/>
      <c r="C58" s="97"/>
      <c r="D58" s="96"/>
      <c r="E58" s="97"/>
      <c r="F58" s="97"/>
      <c r="G58" s="97"/>
      <c r="H58" s="97"/>
      <c r="I58" s="96"/>
      <c r="J58" s="97"/>
      <c r="K58" s="97"/>
      <c r="L58" s="99">
        <f t="shared" ref="L58:Q58" si="4">+L56+L57</f>
        <v>-0.65412420091324208</v>
      </c>
      <c r="M58" s="107">
        <f t="shared" si="4"/>
        <v>0</v>
      </c>
      <c r="N58" s="107">
        <f t="shared" si="4"/>
        <v>0</v>
      </c>
      <c r="O58" s="113">
        <f t="shared" si="4"/>
        <v>-98770.83333333279</v>
      </c>
      <c r="P58" s="113">
        <f t="shared" si="4"/>
        <v>0</v>
      </c>
      <c r="Q58" s="113">
        <f t="shared" si="4"/>
        <v>-98770.83333333279</v>
      </c>
    </row>
    <row r="59" spans="1:17" x14ac:dyDescent="0.2">
      <c r="A59" s="96"/>
      <c r="B59" s="96"/>
      <c r="C59" s="97"/>
      <c r="D59" s="96"/>
      <c r="E59" s="97"/>
      <c r="F59" s="97"/>
      <c r="G59" s="97"/>
      <c r="H59" s="97"/>
      <c r="I59" s="96"/>
      <c r="J59" s="97"/>
      <c r="K59" s="97"/>
      <c r="L59" s="99"/>
      <c r="M59" s="107"/>
      <c r="N59" s="156"/>
      <c r="O59" s="113"/>
      <c r="P59" s="113"/>
      <c r="Q59" s="113"/>
    </row>
    <row r="60" spans="1:17" x14ac:dyDescent="0.2">
      <c r="A60" s="96">
        <v>13</v>
      </c>
      <c r="B60" s="96" t="s">
        <v>32</v>
      </c>
      <c r="C60" s="96" t="s">
        <v>96</v>
      </c>
      <c r="D60" s="96" t="s">
        <v>122</v>
      </c>
      <c r="E60" s="96" t="s">
        <v>102</v>
      </c>
      <c r="F60" s="97"/>
      <c r="G60" s="96" t="s">
        <v>87</v>
      </c>
      <c r="H60" s="90" t="s">
        <v>85</v>
      </c>
      <c r="I60" s="180">
        <v>36754</v>
      </c>
      <c r="J60" s="92">
        <v>3.585</v>
      </c>
      <c r="K60" s="92">
        <f>(SUM(ENA_13!G26:G37)+SUM(ENA_13!H26:H37))/12</f>
        <v>4.3860416666666664</v>
      </c>
      <c r="L60" s="99">
        <v>0.1</v>
      </c>
      <c r="M60" s="115">
        <f>-ENA_13!F22</f>
        <v>1825000</v>
      </c>
      <c r="N60" s="115">
        <f>+M60/365</f>
        <v>5000</v>
      </c>
      <c r="O60" s="104">
        <f>-ENA_13!I22</f>
        <v>-1557172.4999999998</v>
      </c>
      <c r="P60" s="95">
        <f>-ENA_13!J22</f>
        <v>0</v>
      </c>
      <c r="Q60" s="95">
        <f>-ENA_13!K22</f>
        <v>-1557172.4999999998</v>
      </c>
    </row>
    <row r="61" spans="1:17" x14ac:dyDescent="0.2">
      <c r="A61" s="96">
        <v>13</v>
      </c>
      <c r="B61" s="96" t="s">
        <v>32</v>
      </c>
      <c r="C61" s="96" t="s">
        <v>87</v>
      </c>
      <c r="D61" s="96"/>
      <c r="E61" s="96" t="s">
        <v>103</v>
      </c>
      <c r="F61" s="96" t="s">
        <v>37</v>
      </c>
      <c r="G61" s="96" t="s">
        <v>96</v>
      </c>
      <c r="H61" s="90" t="s">
        <v>85</v>
      </c>
      <c r="I61" s="96"/>
      <c r="J61" s="92">
        <v>3.585</v>
      </c>
      <c r="K61" s="92">
        <f>(SUM(ENA_12!G26:G37)+SUM(ENA_12!H26:H37))/12</f>
        <v>4.3860416666666664</v>
      </c>
      <c r="L61" s="101">
        <f>+O61/M61</f>
        <v>-0.79912420091324188</v>
      </c>
      <c r="M61" s="116">
        <f>-ENA_13!F39</f>
        <v>-1825000</v>
      </c>
      <c r="N61" s="116">
        <f>+M61/365</f>
        <v>-5000</v>
      </c>
      <c r="O61" s="111">
        <f>-ENA_13!I39</f>
        <v>1458401.6666666665</v>
      </c>
      <c r="P61" s="112">
        <f>-ENA_13!J39</f>
        <v>0</v>
      </c>
      <c r="Q61" s="112">
        <f>-ENA_13!K39</f>
        <v>1458401.6666666665</v>
      </c>
    </row>
    <row r="62" spans="1:17" x14ac:dyDescent="0.2">
      <c r="A62" s="96"/>
      <c r="B62" s="96"/>
      <c r="C62" s="97"/>
      <c r="D62" s="96"/>
      <c r="E62" s="97"/>
      <c r="F62" s="97"/>
      <c r="G62" s="97"/>
      <c r="H62" s="97"/>
      <c r="I62" s="96"/>
      <c r="J62" s="97"/>
      <c r="K62" s="97"/>
      <c r="L62" s="99">
        <f t="shared" ref="L62:Q62" si="5">+L60+L61</f>
        <v>-0.6991242009132419</v>
      </c>
      <c r="M62" s="107">
        <f t="shared" si="5"/>
        <v>0</v>
      </c>
      <c r="N62" s="107">
        <f t="shared" si="5"/>
        <v>0</v>
      </c>
      <c r="O62" s="113">
        <f t="shared" si="5"/>
        <v>-98770.833333333256</v>
      </c>
      <c r="P62" s="113">
        <f t="shared" si="5"/>
        <v>0</v>
      </c>
      <c r="Q62" s="113">
        <f t="shared" si="5"/>
        <v>-98770.833333333256</v>
      </c>
    </row>
    <row r="63" spans="1:17" x14ac:dyDescent="0.2">
      <c r="A63" s="96"/>
      <c r="B63" s="96"/>
      <c r="C63" s="97"/>
      <c r="D63" s="96"/>
      <c r="E63" s="97"/>
      <c r="F63" s="97"/>
      <c r="G63" s="97"/>
      <c r="H63" s="97"/>
      <c r="I63" s="96"/>
      <c r="J63" s="97"/>
      <c r="K63" s="97"/>
      <c r="L63" s="99"/>
      <c r="M63" s="107"/>
      <c r="N63" s="156"/>
      <c r="O63" s="113"/>
      <c r="P63" s="113"/>
      <c r="Q63" s="113"/>
    </row>
    <row r="64" spans="1:17" ht="10.8" thickBo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161" t="s">
        <v>104</v>
      </c>
      <c r="K64" s="97"/>
      <c r="L64" s="97"/>
      <c r="M64" s="119">
        <f>+M62+M58+M54+M45+M33</f>
        <v>0</v>
      </c>
      <c r="N64" s="119">
        <f>+N62+N58+N54+N45+N33</f>
        <v>0</v>
      </c>
      <c r="O64" s="120">
        <f>+O62+O58+O54+O45+O33</f>
        <v>-314438.33333333232</v>
      </c>
      <c r="P64" s="120">
        <f>+P62+P58+P54+P45+P33</f>
        <v>285750</v>
      </c>
      <c r="Q64" s="120">
        <f>+Q62+Q58+Q54+Q45+Q33</f>
        <v>-600188.33333333279</v>
      </c>
    </row>
    <row r="65" spans="1:18" ht="11.1" customHeight="1" thickTop="1" x14ac:dyDescent="0.2">
      <c r="A65" s="121"/>
      <c r="B65" s="121"/>
      <c r="C65" s="122"/>
      <c r="D65" s="121"/>
      <c r="E65" s="122"/>
      <c r="F65" s="122"/>
      <c r="G65" s="122"/>
      <c r="H65" s="122"/>
      <c r="I65" s="121"/>
      <c r="J65" s="122"/>
      <c r="K65" s="122"/>
      <c r="L65" s="122"/>
      <c r="M65" s="122"/>
      <c r="N65" s="122"/>
      <c r="O65" s="122"/>
      <c r="P65" s="123"/>
      <c r="Q65" s="166" t="s">
        <v>105</v>
      </c>
    </row>
    <row r="66" spans="1:18" ht="9" customHeight="1" x14ac:dyDescent="0.2">
      <c r="A66" s="159"/>
      <c r="B66" s="159"/>
      <c r="C66" s="160"/>
      <c r="D66" s="159"/>
      <c r="E66" s="160"/>
      <c r="F66" s="160"/>
      <c r="G66" s="160"/>
      <c r="H66" s="160"/>
      <c r="I66" s="159"/>
      <c r="J66" s="160"/>
      <c r="K66" s="160"/>
      <c r="L66" s="160"/>
      <c r="M66" s="160"/>
      <c r="N66" s="160"/>
      <c r="O66" s="160"/>
      <c r="P66" s="160"/>
      <c r="Q66" s="175"/>
    </row>
    <row r="67" spans="1:18" s="162" customFormat="1" ht="9" customHeight="1" x14ac:dyDescent="0.2">
      <c r="A67" s="163" t="s">
        <v>134</v>
      </c>
      <c r="B67" s="164"/>
      <c r="C67" s="165"/>
      <c r="D67" s="164"/>
      <c r="E67" s="165"/>
      <c r="F67" s="165"/>
      <c r="G67" s="165"/>
      <c r="H67" s="165"/>
      <c r="I67" s="164"/>
      <c r="J67" s="165"/>
      <c r="K67" s="165"/>
      <c r="L67" s="165"/>
      <c r="M67" s="165"/>
      <c r="N67" s="165"/>
      <c r="O67" s="165"/>
      <c r="P67" s="170"/>
      <c r="Q67" s="165"/>
    </row>
    <row r="68" spans="1:18" ht="9" customHeight="1" x14ac:dyDescent="0.2">
      <c r="A68" s="159"/>
      <c r="B68" s="159"/>
      <c r="C68" s="160"/>
      <c r="D68" s="159"/>
      <c r="E68" s="160"/>
      <c r="F68" s="160"/>
      <c r="G68" s="160"/>
      <c r="H68" s="160"/>
      <c r="I68" s="159"/>
      <c r="J68" s="160"/>
      <c r="K68" s="160"/>
      <c r="L68" s="160"/>
      <c r="M68" s="160"/>
      <c r="N68" s="160"/>
      <c r="O68" s="160"/>
      <c r="P68" s="160"/>
      <c r="Q68" s="160"/>
    </row>
    <row r="69" spans="1:18" x14ac:dyDescent="0.2">
      <c r="A69" s="124"/>
      <c r="B69" s="124"/>
      <c r="I69" s="124"/>
      <c r="O69" s="154"/>
      <c r="P69" s="154"/>
      <c r="Q69" s="154"/>
    </row>
    <row r="70" spans="1:18" s="68" customFormat="1" x14ac:dyDescent="0.2">
      <c r="A70" s="184" t="s">
        <v>133</v>
      </c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</row>
    <row r="71" spans="1:18" s="68" customFormat="1" x14ac:dyDescent="0.2">
      <c r="A71" s="184" t="s">
        <v>2</v>
      </c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</row>
    <row r="72" spans="1:18" x14ac:dyDescent="0.2">
      <c r="B72" s="124"/>
    </row>
    <row r="73" spans="1:18" s="76" customFormat="1" x14ac:dyDescent="0.2">
      <c r="A73" s="71" t="s">
        <v>3</v>
      </c>
      <c r="B73" s="72" t="s">
        <v>4</v>
      </c>
      <c r="C73" s="72" t="s">
        <v>5</v>
      </c>
      <c r="D73" s="72" t="s">
        <v>5</v>
      </c>
      <c r="E73" s="72" t="s">
        <v>5</v>
      </c>
      <c r="F73" s="72" t="s">
        <v>6</v>
      </c>
      <c r="G73" s="72" t="s">
        <v>16</v>
      </c>
      <c r="H73" s="72" t="s">
        <v>8</v>
      </c>
      <c r="I73" s="72" t="s">
        <v>121</v>
      </c>
      <c r="J73" s="72" t="s">
        <v>5</v>
      </c>
      <c r="K73" s="72" t="s">
        <v>9</v>
      </c>
      <c r="L73" s="72" t="s">
        <v>10</v>
      </c>
      <c r="M73" s="72" t="s">
        <v>5</v>
      </c>
      <c r="N73" s="72" t="s">
        <v>11</v>
      </c>
      <c r="O73" s="73"/>
      <c r="P73" s="74"/>
      <c r="Q73" s="75"/>
    </row>
    <row r="74" spans="1:18" s="76" customFormat="1" x14ac:dyDescent="0.2">
      <c r="A74" s="77" t="s">
        <v>12</v>
      </c>
      <c r="B74" s="78" t="s">
        <v>13</v>
      </c>
      <c r="C74" s="78" t="s">
        <v>13</v>
      </c>
      <c r="D74" s="78" t="s">
        <v>14</v>
      </c>
      <c r="E74" s="78" t="s">
        <v>15</v>
      </c>
      <c r="F74" s="78"/>
      <c r="G74" s="78" t="s">
        <v>23</v>
      </c>
      <c r="H74" s="78" t="s">
        <v>17</v>
      </c>
      <c r="I74" s="78" t="s">
        <v>56</v>
      </c>
      <c r="J74" s="78" t="s">
        <v>18</v>
      </c>
      <c r="K74" s="78" t="s">
        <v>19</v>
      </c>
      <c r="L74" s="78"/>
      <c r="M74" s="78" t="s">
        <v>20</v>
      </c>
      <c r="N74" s="78" t="s">
        <v>21</v>
      </c>
      <c r="O74" s="79" t="s">
        <v>94</v>
      </c>
      <c r="P74" s="80"/>
      <c r="Q74" s="81"/>
    </row>
    <row r="75" spans="1:18" s="76" customFormat="1" x14ac:dyDescent="0.2">
      <c r="A75" s="77"/>
      <c r="B75" s="78"/>
      <c r="C75" s="78"/>
      <c r="D75" s="78"/>
      <c r="E75" s="78"/>
      <c r="F75" s="78"/>
      <c r="G75" s="78"/>
      <c r="H75" s="78"/>
      <c r="I75" s="78"/>
      <c r="J75" s="78"/>
      <c r="K75" s="78" t="s">
        <v>24</v>
      </c>
      <c r="L75" s="78"/>
      <c r="M75" s="78" t="s">
        <v>43</v>
      </c>
      <c r="N75" s="78"/>
      <c r="O75" s="83" t="s">
        <v>26</v>
      </c>
      <c r="P75" s="83" t="s">
        <v>27</v>
      </c>
      <c r="Q75" s="84" t="s">
        <v>28</v>
      </c>
    </row>
    <row r="76" spans="1:18" s="76" customFormat="1" x14ac:dyDescent="0.2">
      <c r="A76" s="77"/>
      <c r="B76" s="78"/>
      <c r="C76" s="78"/>
      <c r="D76" s="78"/>
      <c r="E76" s="78"/>
      <c r="F76" s="78"/>
      <c r="G76" s="78"/>
      <c r="H76" s="78"/>
      <c r="I76" s="78"/>
      <c r="J76" s="78"/>
      <c r="K76" s="78" t="s">
        <v>29</v>
      </c>
      <c r="L76" s="78"/>
      <c r="M76" s="78" t="s">
        <v>44</v>
      </c>
      <c r="N76" s="125"/>
      <c r="O76" s="139" t="s">
        <v>109</v>
      </c>
      <c r="P76" s="139" t="s">
        <v>109</v>
      </c>
      <c r="Q76" s="140" t="s">
        <v>109</v>
      </c>
    </row>
    <row r="77" spans="1:18" s="142" customFormat="1" ht="20.399999999999999" hidden="1" x14ac:dyDescent="0.2">
      <c r="A77" s="143">
        <v>6</v>
      </c>
      <c r="B77" s="143" t="s">
        <v>40</v>
      </c>
      <c r="C77" s="143" t="s">
        <v>41</v>
      </c>
      <c r="D77" s="143">
        <v>25834</v>
      </c>
      <c r="E77" s="143" t="s">
        <v>34</v>
      </c>
      <c r="F77" s="143" t="s">
        <v>45</v>
      </c>
      <c r="G77" s="144" t="s">
        <v>42</v>
      </c>
      <c r="H77" s="144" t="s">
        <v>86</v>
      </c>
      <c r="I77" s="141"/>
      <c r="J77" s="145" t="s">
        <v>93</v>
      </c>
      <c r="K77" s="141"/>
      <c r="L77" s="141"/>
      <c r="M77" s="146">
        <f>-Elpaso_6!F15</f>
        <v>15000000</v>
      </c>
      <c r="N77" s="147"/>
      <c r="O77" s="148">
        <f>-Elpaso_6!I15</f>
        <v>-7907000</v>
      </c>
      <c r="P77" s="150"/>
      <c r="Q77" s="151">
        <f>+O77</f>
        <v>-7907000</v>
      </c>
      <c r="R77" s="141"/>
    </row>
    <row r="78" spans="1:18" s="142" customFormat="1" ht="20.399999999999999" x14ac:dyDescent="0.2">
      <c r="A78" s="143">
        <v>6</v>
      </c>
      <c r="B78" s="143" t="s">
        <v>40</v>
      </c>
      <c r="C78" s="143" t="s">
        <v>96</v>
      </c>
      <c r="D78" s="143"/>
      <c r="E78" s="96" t="s">
        <v>102</v>
      </c>
      <c r="F78" s="143" t="s">
        <v>45</v>
      </c>
      <c r="G78" s="144" t="s">
        <v>42</v>
      </c>
      <c r="H78" s="144" t="s">
        <v>108</v>
      </c>
      <c r="I78" s="141"/>
      <c r="J78" s="152">
        <v>3.3</v>
      </c>
      <c r="K78" s="153">
        <f>SUM(Elpaso_6!G9:G13)+SUM(Elpaso_6!H9:H13)/5</f>
        <v>3.8247999999999998</v>
      </c>
      <c r="L78" s="153">
        <f>+J78-K78</f>
        <v>-0.52479999999999993</v>
      </c>
      <c r="M78" s="146">
        <v>15000000</v>
      </c>
      <c r="N78" s="146">
        <f>+M78/153</f>
        <v>98039.215686274503</v>
      </c>
      <c r="O78" s="148">
        <f>-Elpaso_6!I15</f>
        <v>-7907000</v>
      </c>
      <c r="P78" s="150"/>
      <c r="Q78" s="151">
        <f>+O78</f>
        <v>-7907000</v>
      </c>
      <c r="R78" s="167"/>
    </row>
    <row r="79" spans="1:18" s="142" customFormat="1" ht="20.399999999999999" x14ac:dyDescent="0.2">
      <c r="A79" s="143">
        <v>6</v>
      </c>
      <c r="B79" s="143" t="s">
        <v>40</v>
      </c>
      <c r="C79" s="143" t="s">
        <v>41</v>
      </c>
      <c r="D79" s="143"/>
      <c r="E79" s="96" t="s">
        <v>102</v>
      </c>
      <c r="F79" s="143" t="s">
        <v>45</v>
      </c>
      <c r="G79" s="144" t="s">
        <v>42</v>
      </c>
      <c r="H79" s="144" t="s">
        <v>108</v>
      </c>
      <c r="I79" s="141"/>
      <c r="J79" s="152">
        <v>2.3199999999999998</v>
      </c>
      <c r="K79" s="153">
        <f>SUM(Elpaso_6!G17:G21)+SUM(Elpaso_6!H17:H21)/5</f>
        <v>3.8247999999999998</v>
      </c>
      <c r="L79" s="153">
        <f>+J79-K79</f>
        <v>-1.5047999999999999</v>
      </c>
      <c r="M79" s="158">
        <v>-15000000</v>
      </c>
      <c r="N79" s="158">
        <f>+M79/153</f>
        <v>-98039.215686274503</v>
      </c>
      <c r="O79" s="157">
        <f>-Elpaso_6!I23</f>
        <v>22607000</v>
      </c>
      <c r="P79" s="150"/>
      <c r="Q79" s="157">
        <f>+O79</f>
        <v>22607000</v>
      </c>
      <c r="R79" s="141"/>
    </row>
    <row r="80" spans="1:18" s="142" customFormat="1" x14ac:dyDescent="0.2">
      <c r="A80" s="143"/>
      <c r="B80" s="143"/>
      <c r="C80" s="143"/>
      <c r="D80" s="143"/>
      <c r="E80" s="143"/>
      <c r="F80" s="143"/>
      <c r="G80" s="144"/>
      <c r="H80" s="144"/>
      <c r="I80" s="141"/>
      <c r="J80" s="152"/>
      <c r="K80" s="153"/>
      <c r="L80" s="153"/>
      <c r="M80" s="146">
        <f>+M78+M79</f>
        <v>0</v>
      </c>
      <c r="N80" s="146">
        <f>+M80/153</f>
        <v>0</v>
      </c>
      <c r="O80" s="148">
        <f>+O79+O78</f>
        <v>14700000</v>
      </c>
      <c r="P80" s="150"/>
      <c r="Q80" s="151">
        <f>+Q79+Q78</f>
        <v>14700000</v>
      </c>
      <c r="R80" s="141"/>
    </row>
    <row r="81" spans="1:18" s="142" customFormat="1" x14ac:dyDescent="0.2">
      <c r="A81" s="143"/>
      <c r="B81" s="143"/>
      <c r="C81" s="143"/>
      <c r="D81" s="143"/>
      <c r="E81" s="143"/>
      <c r="F81" s="143"/>
      <c r="G81" s="144"/>
      <c r="H81" s="144"/>
      <c r="I81" s="141"/>
      <c r="J81" s="152"/>
      <c r="K81" s="153"/>
      <c r="L81" s="153"/>
      <c r="M81" s="146"/>
      <c r="N81" s="146"/>
      <c r="O81" s="148"/>
      <c r="P81" s="150"/>
      <c r="Q81" s="155"/>
      <c r="R81" s="141"/>
    </row>
    <row r="82" spans="1:18" s="142" customFormat="1" ht="9" customHeight="1" x14ac:dyDescent="0.2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7"/>
      <c r="O82" s="149"/>
      <c r="P82" s="150"/>
      <c r="Q82" s="155"/>
      <c r="R82" s="141"/>
    </row>
    <row r="83" spans="1:18" x14ac:dyDescent="0.2">
      <c r="A83" s="96">
        <v>14</v>
      </c>
      <c r="B83" s="96" t="s">
        <v>32</v>
      </c>
      <c r="C83" s="96" t="s">
        <v>114</v>
      </c>
      <c r="D83" s="96" t="s">
        <v>125</v>
      </c>
      <c r="E83" s="96" t="s">
        <v>102</v>
      </c>
      <c r="F83" s="96"/>
      <c r="G83" s="96" t="s">
        <v>115</v>
      </c>
      <c r="H83" s="97" t="s">
        <v>123</v>
      </c>
      <c r="I83" s="180">
        <v>36798</v>
      </c>
      <c r="J83" s="97"/>
      <c r="K83" s="97"/>
      <c r="L83" s="97"/>
      <c r="M83" s="103">
        <v>373774472</v>
      </c>
      <c r="N83" s="103"/>
      <c r="O83" s="118">
        <v>49744756.020000003</v>
      </c>
      <c r="P83" s="172"/>
      <c r="Q83" s="172">
        <f>+O83+P83</f>
        <v>49744756.020000003</v>
      </c>
    </row>
    <row r="84" spans="1:18" x14ac:dyDescent="0.2">
      <c r="A84" s="96">
        <v>14</v>
      </c>
      <c r="B84" s="96" t="s">
        <v>32</v>
      </c>
      <c r="C84" s="96" t="s">
        <v>40</v>
      </c>
      <c r="D84" s="96"/>
      <c r="E84" s="96" t="s">
        <v>102</v>
      </c>
      <c r="F84" s="96"/>
      <c r="G84" s="96" t="s">
        <v>116</v>
      </c>
      <c r="H84" s="97"/>
      <c r="I84" s="97"/>
      <c r="J84" s="97"/>
      <c r="K84" s="97"/>
      <c r="L84" s="97"/>
      <c r="M84" s="116">
        <f>-M83</f>
        <v>-373774472</v>
      </c>
      <c r="N84" s="97"/>
      <c r="O84" s="128">
        <f>-O83</f>
        <v>-49744756.020000003</v>
      </c>
      <c r="P84" s="118"/>
      <c r="Q84" s="128">
        <f>+O84+P84</f>
        <v>-49744756.020000003</v>
      </c>
    </row>
    <row r="85" spans="1:18" x14ac:dyDescent="0.2">
      <c r="A85" s="96"/>
      <c r="B85" s="96"/>
      <c r="C85" s="96"/>
      <c r="D85" s="96"/>
      <c r="E85" s="96"/>
      <c r="F85" s="96"/>
      <c r="G85" s="97"/>
      <c r="H85" s="97"/>
      <c r="I85" s="96"/>
      <c r="J85" s="97"/>
      <c r="K85" s="97"/>
      <c r="L85" s="97"/>
      <c r="M85" s="103">
        <f>+M84+M83</f>
        <v>0</v>
      </c>
      <c r="N85" s="103"/>
      <c r="O85" s="118">
        <f>+O83+O84</f>
        <v>0</v>
      </c>
      <c r="P85" s="172"/>
      <c r="Q85" s="172">
        <f>+Q83+Q84</f>
        <v>0</v>
      </c>
    </row>
    <row r="86" spans="1:18" ht="9" customHeight="1" x14ac:dyDescent="0.2">
      <c r="A86" s="97"/>
      <c r="B86" s="97"/>
      <c r="C86" s="97"/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118"/>
      <c r="P86" s="172"/>
      <c r="Q86" s="172"/>
    </row>
    <row r="87" spans="1:18" x14ac:dyDescent="0.2">
      <c r="A87" s="96">
        <v>15</v>
      </c>
      <c r="B87" s="96" t="s">
        <v>32</v>
      </c>
      <c r="C87" s="96" t="s">
        <v>114</v>
      </c>
      <c r="D87" s="96" t="s">
        <v>125</v>
      </c>
      <c r="E87" s="96" t="s">
        <v>117</v>
      </c>
      <c r="F87" s="96"/>
      <c r="G87" s="96" t="s">
        <v>115</v>
      </c>
      <c r="H87" s="97" t="s">
        <v>123</v>
      </c>
      <c r="I87" s="180">
        <v>36798</v>
      </c>
      <c r="J87" s="97"/>
      <c r="K87" s="97"/>
      <c r="L87" s="97"/>
      <c r="M87" s="103">
        <v>-373774472</v>
      </c>
      <c r="N87" s="103"/>
      <c r="O87" s="118">
        <v>-23868610.5</v>
      </c>
      <c r="P87" s="172"/>
      <c r="Q87" s="172">
        <f>+O87+P87</f>
        <v>-23868610.5</v>
      </c>
    </row>
    <row r="88" spans="1:18" x14ac:dyDescent="0.2">
      <c r="A88" s="96">
        <v>15</v>
      </c>
      <c r="B88" s="96" t="s">
        <v>32</v>
      </c>
      <c r="C88" s="96" t="s">
        <v>40</v>
      </c>
      <c r="D88" s="96"/>
      <c r="E88" s="96" t="s">
        <v>117</v>
      </c>
      <c r="F88" s="96"/>
      <c r="G88" s="96" t="s">
        <v>116</v>
      </c>
      <c r="H88" s="97"/>
      <c r="I88" s="96"/>
      <c r="J88" s="97"/>
      <c r="K88" s="97"/>
      <c r="L88" s="97"/>
      <c r="M88" s="110">
        <v>373774472</v>
      </c>
      <c r="N88" s="97"/>
      <c r="O88" s="128">
        <f>-O87</f>
        <v>23868610.5</v>
      </c>
      <c r="P88" s="172"/>
      <c r="Q88" s="128">
        <f>+O88+P88</f>
        <v>23868610.5</v>
      </c>
    </row>
    <row r="89" spans="1:18" x14ac:dyDescent="0.2">
      <c r="A89" s="96"/>
      <c r="B89" s="96"/>
      <c r="C89" s="96"/>
      <c r="D89" s="96"/>
      <c r="E89" s="96"/>
      <c r="F89" s="96"/>
      <c r="G89" s="96"/>
      <c r="H89" s="97"/>
      <c r="I89" s="96"/>
      <c r="J89" s="97"/>
      <c r="K89" s="97"/>
      <c r="L89" s="97"/>
      <c r="M89" s="115">
        <f>+M87+M88</f>
        <v>0</v>
      </c>
      <c r="N89" s="97"/>
      <c r="O89" s="118">
        <f>+O88+O87</f>
        <v>0</v>
      </c>
      <c r="P89" s="172"/>
      <c r="Q89" s="172">
        <f>+Q88+Q87</f>
        <v>0</v>
      </c>
    </row>
    <row r="90" spans="1:18" x14ac:dyDescent="0.2">
      <c r="A90" s="96"/>
      <c r="B90" s="96"/>
      <c r="C90" s="96"/>
      <c r="D90" s="96"/>
      <c r="E90" s="96"/>
      <c r="F90" s="96"/>
      <c r="G90" s="96"/>
      <c r="H90" s="97"/>
      <c r="I90" s="96"/>
      <c r="J90" s="97"/>
      <c r="K90" s="97"/>
      <c r="L90" s="97"/>
      <c r="M90" s="115"/>
      <c r="N90" s="97"/>
      <c r="O90" s="118"/>
      <c r="P90" s="172"/>
      <c r="Q90" s="172"/>
    </row>
    <row r="91" spans="1:18" x14ac:dyDescent="0.2">
      <c r="A91" s="96">
        <v>16</v>
      </c>
      <c r="B91" s="96" t="s">
        <v>40</v>
      </c>
      <c r="C91" s="96" t="s">
        <v>114</v>
      </c>
      <c r="D91" s="96" t="s">
        <v>124</v>
      </c>
      <c r="E91" s="96" t="s">
        <v>102</v>
      </c>
      <c r="F91" s="96"/>
      <c r="G91" s="96" t="s">
        <v>119</v>
      </c>
      <c r="H91" s="97" t="s">
        <v>123</v>
      </c>
      <c r="I91" s="180">
        <v>36798</v>
      </c>
      <c r="J91" s="97"/>
      <c r="K91" s="97"/>
      <c r="L91" s="97"/>
      <c r="M91" s="103">
        <v>-373774472</v>
      </c>
      <c r="N91" s="103"/>
      <c r="O91" s="118">
        <v>-13941840.26</v>
      </c>
      <c r="P91" s="172"/>
      <c r="Q91" s="172">
        <f>+O91+P91</f>
        <v>-13941840.26</v>
      </c>
    </row>
    <row r="92" spans="1:18" x14ac:dyDescent="0.2">
      <c r="A92" s="96">
        <v>16</v>
      </c>
      <c r="B92" s="96" t="s">
        <v>40</v>
      </c>
      <c r="C92" s="96" t="s">
        <v>32</v>
      </c>
      <c r="D92" s="96"/>
      <c r="E92" s="96" t="s">
        <v>102</v>
      </c>
      <c r="F92" s="96"/>
      <c r="G92" s="96" t="s">
        <v>116</v>
      </c>
      <c r="H92" s="97" t="s">
        <v>123</v>
      </c>
      <c r="I92" s="180">
        <v>36798</v>
      </c>
      <c r="J92" s="97"/>
      <c r="K92" s="97"/>
      <c r="L92" s="97"/>
      <c r="M92" s="110">
        <f>-M91</f>
        <v>373774472</v>
      </c>
      <c r="N92" s="97"/>
      <c r="O92" s="128">
        <v>49744756.020000003</v>
      </c>
      <c r="P92" s="172"/>
      <c r="Q92" s="128">
        <f>+O92+P92</f>
        <v>49744756.020000003</v>
      </c>
    </row>
    <row r="93" spans="1:18" x14ac:dyDescent="0.2">
      <c r="A93" s="96"/>
      <c r="B93" s="96"/>
      <c r="C93" s="96"/>
      <c r="D93" s="96"/>
      <c r="E93" s="96"/>
      <c r="F93" s="96"/>
      <c r="G93" s="96"/>
      <c r="H93" s="97"/>
      <c r="I93" s="96"/>
      <c r="J93" s="97"/>
      <c r="K93" s="97"/>
      <c r="L93" s="97"/>
      <c r="M93" s="115">
        <f>+M92+M91</f>
        <v>0</v>
      </c>
      <c r="N93" s="97"/>
      <c r="O93" s="118">
        <f>+O92+O91</f>
        <v>35802915.760000005</v>
      </c>
      <c r="P93" s="172"/>
      <c r="Q93" s="172">
        <f>+Q92+Q91</f>
        <v>35802915.760000005</v>
      </c>
    </row>
    <row r="94" spans="1:18" x14ac:dyDescent="0.2">
      <c r="A94" s="96"/>
      <c r="B94" s="96"/>
      <c r="C94" s="96"/>
      <c r="D94" s="96"/>
      <c r="E94" s="96"/>
      <c r="F94" s="96"/>
      <c r="G94" s="96"/>
      <c r="H94" s="97"/>
      <c r="I94" s="96"/>
      <c r="J94" s="97"/>
      <c r="K94" s="97"/>
      <c r="L94" s="97"/>
      <c r="M94" s="97"/>
      <c r="N94" s="97"/>
      <c r="O94" s="118"/>
      <c r="P94" s="172"/>
      <c r="Q94" s="172"/>
    </row>
    <row r="95" spans="1:18" x14ac:dyDescent="0.2">
      <c r="A95" s="96">
        <v>18</v>
      </c>
      <c r="B95" s="96" t="s">
        <v>40</v>
      </c>
      <c r="C95" s="96"/>
      <c r="D95" s="96"/>
      <c r="E95" s="96" t="s">
        <v>118</v>
      </c>
      <c r="F95" s="96"/>
      <c r="G95" s="96"/>
      <c r="H95" s="97"/>
      <c r="I95" s="181">
        <v>36799</v>
      </c>
      <c r="J95" s="97"/>
      <c r="K95" s="97"/>
      <c r="L95" s="97"/>
      <c r="M95" s="103"/>
      <c r="N95" s="103"/>
      <c r="O95" s="118">
        <v>-35802915.759999998</v>
      </c>
      <c r="P95" s="172"/>
      <c r="Q95" s="172">
        <f>+P95+O95</f>
        <v>-35802915.759999998</v>
      </c>
    </row>
    <row r="96" spans="1:18" x14ac:dyDescent="0.2">
      <c r="A96" s="96"/>
      <c r="B96" s="96"/>
      <c r="C96" s="96"/>
      <c r="D96" s="96"/>
      <c r="E96" s="96"/>
      <c r="F96" s="96"/>
      <c r="G96" s="96"/>
      <c r="H96" s="97"/>
      <c r="I96" s="181"/>
      <c r="J96" s="97"/>
      <c r="K96" s="97"/>
      <c r="L96" s="97"/>
      <c r="M96" s="103"/>
      <c r="N96" s="103"/>
      <c r="O96" s="118"/>
      <c r="P96" s="172"/>
      <c r="Q96" s="172"/>
    </row>
    <row r="97" spans="1:18" x14ac:dyDescent="0.2">
      <c r="A97" s="96">
        <v>18</v>
      </c>
      <c r="B97" s="96" t="s">
        <v>40</v>
      </c>
      <c r="C97" s="96" t="s">
        <v>131</v>
      </c>
      <c r="D97" s="96">
        <v>1009351</v>
      </c>
      <c r="E97" s="96" t="s">
        <v>102</v>
      </c>
      <c r="F97" s="97"/>
      <c r="G97" s="97"/>
      <c r="H97" s="182">
        <v>36857</v>
      </c>
      <c r="I97" s="180">
        <v>36797</v>
      </c>
      <c r="J97" s="118">
        <v>7.0000000000000007E-2</v>
      </c>
      <c r="K97" s="97"/>
      <c r="L97" s="99"/>
      <c r="M97" s="115">
        <v>155000</v>
      </c>
      <c r="N97" s="156"/>
      <c r="O97" s="104">
        <f>+M97*J97</f>
        <v>10850.000000000002</v>
      </c>
      <c r="P97" s="113"/>
      <c r="Q97" s="104">
        <f>+O97+P97</f>
        <v>10850.000000000002</v>
      </c>
    </row>
    <row r="98" spans="1:18" x14ac:dyDescent="0.2">
      <c r="A98" s="96"/>
      <c r="B98" s="96"/>
      <c r="C98" s="97"/>
      <c r="D98" s="96"/>
      <c r="E98" s="97"/>
      <c r="F98" s="97"/>
      <c r="G98" s="97"/>
      <c r="H98" s="97"/>
      <c r="I98" s="96"/>
      <c r="J98" s="97"/>
      <c r="K98" s="97"/>
      <c r="L98" s="99"/>
      <c r="M98" s="107"/>
      <c r="N98" s="156"/>
      <c r="O98" s="113"/>
      <c r="P98" s="113"/>
      <c r="Q98" s="113"/>
    </row>
    <row r="99" spans="1:18" x14ac:dyDescent="0.2">
      <c r="A99" s="96">
        <v>19</v>
      </c>
      <c r="B99" s="96" t="s">
        <v>40</v>
      </c>
      <c r="C99" s="96" t="s">
        <v>96</v>
      </c>
      <c r="D99" s="96" t="s">
        <v>132</v>
      </c>
      <c r="E99" s="96" t="s">
        <v>102</v>
      </c>
      <c r="F99" s="97"/>
      <c r="G99" s="97"/>
      <c r="H99" s="182">
        <v>36857</v>
      </c>
      <c r="I99" s="180">
        <v>36790</v>
      </c>
      <c r="J99" s="118">
        <v>0.05</v>
      </c>
      <c r="K99" s="97"/>
      <c r="L99" s="99"/>
      <c r="M99" s="115">
        <v>-155000</v>
      </c>
      <c r="N99" s="156"/>
      <c r="O99" s="104">
        <f>+M99*J99</f>
        <v>-7750</v>
      </c>
      <c r="P99" s="113"/>
      <c r="Q99" s="104">
        <f>+O99+P99</f>
        <v>-7750</v>
      </c>
    </row>
    <row r="100" spans="1:18" x14ac:dyDescent="0.2">
      <c r="A100" s="96"/>
      <c r="B100" s="96"/>
      <c r="C100" s="96"/>
      <c r="D100" s="96"/>
      <c r="E100" s="96"/>
      <c r="F100" s="96"/>
      <c r="G100" s="96"/>
      <c r="H100" s="97"/>
      <c r="I100" s="181"/>
      <c r="J100" s="97"/>
      <c r="K100" s="97"/>
      <c r="L100" s="97"/>
      <c r="M100" s="103"/>
      <c r="N100" s="103"/>
      <c r="O100" s="118"/>
      <c r="P100" s="172"/>
      <c r="Q100" s="172"/>
    </row>
    <row r="101" spans="1:18" ht="10.8" thickBot="1" x14ac:dyDescent="0.25">
      <c r="A101" s="97"/>
      <c r="B101" s="98"/>
      <c r="C101" s="98"/>
      <c r="D101" s="176"/>
      <c r="E101" s="98"/>
      <c r="F101" s="98"/>
      <c r="G101" s="98"/>
      <c r="H101" s="98"/>
      <c r="I101" s="160"/>
      <c r="J101" s="97"/>
      <c r="K101" s="98"/>
      <c r="L101" s="98"/>
      <c r="M101" s="119">
        <f>+M99+M97+M95+M93+M89+M85+M80</f>
        <v>0</v>
      </c>
      <c r="N101" s="119">
        <f>SUM(N83:N95)</f>
        <v>0</v>
      </c>
      <c r="O101" s="120">
        <f>+O99+O97+O95+O93+O89+O85+O80</f>
        <v>14703100.000000007</v>
      </c>
      <c r="P101" s="120">
        <f>+P99+P97+P95+P93+P89+P85+P80</f>
        <v>0</v>
      </c>
      <c r="Q101" s="120">
        <f>+Q99+Q97+Q95+Q93+Q89+Q85+Q80</f>
        <v>14703100.000000007</v>
      </c>
      <c r="R101" s="160"/>
    </row>
    <row r="102" spans="1:18" ht="10.8" thickTop="1" x14ac:dyDescent="0.2">
      <c r="A102" s="122"/>
      <c r="B102" s="123"/>
      <c r="C102" s="123"/>
      <c r="D102" s="183"/>
      <c r="E102" s="123"/>
      <c r="F102" s="123"/>
      <c r="G102" s="123"/>
      <c r="H102" s="123"/>
      <c r="I102" s="177"/>
      <c r="J102" s="122"/>
      <c r="K102" s="123"/>
      <c r="L102" s="123"/>
      <c r="M102" s="178"/>
      <c r="N102" s="178"/>
      <c r="O102" s="179"/>
      <c r="P102" s="179"/>
      <c r="Q102" s="179"/>
    </row>
    <row r="103" spans="1:18" x14ac:dyDescent="0.2">
      <c r="A103" s="160"/>
      <c r="B103" s="160"/>
      <c r="C103" s="160"/>
      <c r="D103" s="159"/>
      <c r="E103" s="160"/>
      <c r="F103" s="160"/>
      <c r="G103" s="160"/>
      <c r="H103" s="160"/>
      <c r="I103" s="160"/>
      <c r="J103" s="160"/>
      <c r="K103" s="160"/>
      <c r="L103" s="160"/>
      <c r="M103" s="173"/>
      <c r="N103" s="173"/>
      <c r="O103" s="174"/>
      <c r="P103" s="174"/>
      <c r="Q103" s="174"/>
    </row>
    <row r="104" spans="1:18" x14ac:dyDescent="0.2">
      <c r="A104" s="160"/>
      <c r="B104" s="160"/>
      <c r="C104" s="160"/>
      <c r="D104" s="159"/>
      <c r="E104" s="160"/>
      <c r="F104" s="160"/>
      <c r="G104" s="160"/>
      <c r="H104" s="160"/>
      <c r="I104" s="160"/>
      <c r="J104" s="160"/>
      <c r="K104" s="160"/>
      <c r="L104" s="160"/>
      <c r="M104" s="173"/>
      <c r="N104" s="173"/>
      <c r="O104" s="174"/>
      <c r="P104" s="174"/>
      <c r="Q104" s="174"/>
    </row>
    <row r="105" spans="1:18" ht="12" customHeight="1" x14ac:dyDescent="0.25">
      <c r="M105" s="136"/>
    </row>
    <row r="106" spans="1:18" x14ac:dyDescent="0.2">
      <c r="A106" s="29" t="s">
        <v>106</v>
      </c>
    </row>
    <row r="107" spans="1:18" x14ac:dyDescent="0.2">
      <c r="A107" s="29" t="s">
        <v>107</v>
      </c>
      <c r="B107" s="29"/>
      <c r="C107" s="29"/>
    </row>
    <row r="108" spans="1:18" x14ac:dyDescent="0.2">
      <c r="A108" s="29" t="s">
        <v>48</v>
      </c>
      <c r="B108" s="29"/>
      <c r="C108" s="29"/>
    </row>
  </sheetData>
  <mergeCells count="6">
    <mergeCell ref="A70:Q70"/>
    <mergeCell ref="A71:Q71"/>
    <mergeCell ref="A1:Q1"/>
    <mergeCell ref="A2:Q2"/>
    <mergeCell ref="A3:Q3"/>
    <mergeCell ref="A5:Q5"/>
  </mergeCells>
  <printOptions horizontalCentered="1" verticalCentered="1"/>
  <pageMargins left="0.25" right="0.25" top="0.18" bottom="0.35" header="0.5" footer="0.22"/>
  <pageSetup scale="69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C3" sqref="C3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 t="e">
        <f>+#REF!</f>
        <v>#REF!</v>
      </c>
      <c r="I9" s="17">
        <f>-F9*D9</f>
        <v>15500</v>
      </c>
      <c r="J9" s="41">
        <f>+I9</f>
        <v>15500</v>
      </c>
      <c r="K9" s="41"/>
    </row>
    <row r="10" spans="1:11" x14ac:dyDescent="0.25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 t="e">
        <f>+#REF!</f>
        <v>#REF!</v>
      </c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5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 t="e">
        <f>+#REF!</f>
        <v>#REF!</v>
      </c>
      <c r="I11" s="17">
        <f t="shared" si="0"/>
        <v>15500</v>
      </c>
      <c r="J11" s="41">
        <f t="shared" si="1"/>
        <v>15500</v>
      </c>
      <c r="K11" s="41"/>
    </row>
    <row r="12" spans="1:11" x14ac:dyDescent="0.25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 t="e">
        <f>+#REF!</f>
        <v>#REF!</v>
      </c>
      <c r="I12" s="17">
        <f t="shared" si="0"/>
        <v>15000</v>
      </c>
      <c r="J12" s="41">
        <f t="shared" si="1"/>
        <v>15000</v>
      </c>
      <c r="K12" s="41"/>
    </row>
    <row r="13" spans="1:11" x14ac:dyDescent="0.25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 t="e">
        <f>+#REF!</f>
        <v>#REF!</v>
      </c>
      <c r="I13" s="17">
        <f t="shared" si="0"/>
        <v>15500</v>
      </c>
      <c r="J13" s="41">
        <f t="shared" si="1"/>
        <v>15500</v>
      </c>
      <c r="K13" s="41"/>
    </row>
    <row r="14" spans="1:11" x14ac:dyDescent="0.25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 t="e">
        <f>+#REF!</f>
        <v>#REF!</v>
      </c>
      <c r="I14" s="17">
        <f t="shared" si="0"/>
        <v>15000</v>
      </c>
      <c r="J14" s="41">
        <f t="shared" si="1"/>
        <v>15000</v>
      </c>
      <c r="K14" s="41"/>
    </row>
    <row r="15" spans="1:11" x14ac:dyDescent="0.25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 t="e">
        <f>+#REF!</f>
        <v>#REF!</v>
      </c>
      <c r="I15" s="17">
        <f t="shared" si="0"/>
        <v>15500</v>
      </c>
      <c r="J15" s="41">
        <f t="shared" si="1"/>
        <v>15500</v>
      </c>
      <c r="K15" s="41"/>
    </row>
    <row r="16" spans="1:11" x14ac:dyDescent="0.25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 t="e">
        <f>+#REF!</f>
        <v>#REF!</v>
      </c>
      <c r="I16" s="17">
        <f t="shared" si="0"/>
        <v>15500</v>
      </c>
      <c r="J16" s="41">
        <f t="shared" si="1"/>
        <v>15500</v>
      </c>
      <c r="K16" s="41"/>
    </row>
    <row r="17" spans="1:11" x14ac:dyDescent="0.25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 t="e">
        <f>+#REF!</f>
        <v>#REF!</v>
      </c>
      <c r="I17" s="17">
        <f t="shared" si="0"/>
        <v>15000</v>
      </c>
      <c r="J17" s="41">
        <f t="shared" si="1"/>
        <v>15000</v>
      </c>
      <c r="K17" s="41"/>
    </row>
    <row r="18" spans="1:11" x14ac:dyDescent="0.25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 t="e">
        <f>+#REF!</f>
        <v>#REF!</v>
      </c>
      <c r="I18" s="17">
        <f t="shared" si="0"/>
        <v>15500</v>
      </c>
      <c r="J18" s="41">
        <f t="shared" si="1"/>
        <v>15500</v>
      </c>
      <c r="K18" s="41"/>
    </row>
    <row r="19" spans="1:11" x14ac:dyDescent="0.25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 t="e">
        <f>+#REF!</f>
        <v>#REF!</v>
      </c>
      <c r="I19" s="17">
        <f t="shared" si="0"/>
        <v>15000</v>
      </c>
      <c r="J19" s="41">
        <f t="shared" si="1"/>
        <v>15000</v>
      </c>
      <c r="K19" s="41"/>
    </row>
    <row r="20" spans="1:11" x14ac:dyDescent="0.25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 t="e">
        <f>+#REF!</f>
        <v>#REF!</v>
      </c>
      <c r="I20" s="17">
        <f t="shared" si="0"/>
        <v>15500</v>
      </c>
      <c r="J20" s="41">
        <f t="shared" si="1"/>
        <v>15500</v>
      </c>
      <c r="K20" s="41"/>
    </row>
    <row r="21" spans="1:11" x14ac:dyDescent="0.25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69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5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5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5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5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5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5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5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5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5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5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5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5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5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5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5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5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5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5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5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5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5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5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5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5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5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5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5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5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5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5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5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5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5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5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5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5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5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5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5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5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8" thickBot="1" x14ac:dyDescent="0.3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8" thickTop="1" x14ac:dyDescent="0.25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5">
      <c r="I41" s="28"/>
    </row>
    <row r="42" spans="1:12" x14ac:dyDescent="0.25">
      <c r="A42" s="29" t="s">
        <v>47</v>
      </c>
      <c r="J42"/>
      <c r="K42"/>
    </row>
    <row r="43" spans="1:12" s="29" customFormat="1" ht="10.199999999999999" x14ac:dyDescent="0.2">
      <c r="I43" s="30"/>
      <c r="J43" s="30"/>
      <c r="K43" s="30"/>
    </row>
    <row r="44" spans="1:12" x14ac:dyDescent="0.25">
      <c r="I44" s="28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2.5546875" bestFit="1" customWidth="1"/>
    <col min="9" max="9" width="14.44140625" customWidth="1"/>
    <col min="10" max="10" width="13.44140625" customWidth="1"/>
    <col min="11" max="11" width="14.4414062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85" t="s">
        <v>95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5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5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5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5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5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5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5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5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5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5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5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5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5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5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5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5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5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8" thickBot="1" x14ac:dyDescent="0.3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5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6" x14ac:dyDescent="0.3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5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5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5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5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5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5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5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5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5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5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5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5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5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5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5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5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5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5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5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5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5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5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5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5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5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5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5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5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5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5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5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5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5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8" thickBot="1" x14ac:dyDescent="0.3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8" thickTop="1" x14ac:dyDescent="0.25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5">
      <c r="I42" s="28"/>
    </row>
    <row r="43" spans="1:12" x14ac:dyDescent="0.25">
      <c r="A43" s="29" t="s">
        <v>47</v>
      </c>
      <c r="J43"/>
      <c r="K43"/>
    </row>
    <row r="44" spans="1:12" s="29" customFormat="1" ht="10.199999999999999" x14ac:dyDescent="0.2">
      <c r="I44" s="30"/>
      <c r="J44" s="30"/>
      <c r="K44" s="30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  <row r="133" spans="9:9" x14ac:dyDescent="0.25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109375" customWidth="1"/>
    <col min="7" max="7" width="14.33203125" customWidth="1"/>
    <col min="8" max="8" width="10.6640625" customWidth="1"/>
    <col min="9" max="9" width="13.6640625" customWidth="1"/>
    <col min="10" max="10" width="13.4414062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5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5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5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5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5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5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5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5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5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5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5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5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5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5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5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5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5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5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5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5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5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5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5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5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5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5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5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5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5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5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5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5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8" topLeftCell="I1"/>
      <selection activeCell="A4" sqref="A4:IV4"/>
      <selection pane="topRight" activeCell="I1" sqref="I1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3.6640625" customWidth="1"/>
    <col min="10" max="11" width="13.4414062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5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5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5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5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5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5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5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5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5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5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5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5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5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5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5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5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5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5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5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5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5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5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5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5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5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5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5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5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5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5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5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5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5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5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5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5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5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5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5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5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5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5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5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5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5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5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5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5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5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5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5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5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8" thickBot="1" x14ac:dyDescent="0.3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8" thickTop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5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11" width="15" bestFit="1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6" si="0">(+D9-G9)*F9</f>
        <v>-81375.000000000131</v>
      </c>
      <c r="J9" s="41">
        <f t="shared" ref="J9:J17" si="1">+I9</f>
        <v>-81375.000000000131</v>
      </c>
      <c r="K9" s="41"/>
    </row>
    <row r="10" spans="1:11" x14ac:dyDescent="0.25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5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5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5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5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5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5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5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15"/>
      <c r="H17" s="32">
        <v>4.5</v>
      </c>
      <c r="I17" s="17">
        <f>SUM(D17-H17)*F17</f>
        <v>960749.99999999988</v>
      </c>
      <c r="J17" s="41">
        <f t="shared" si="1"/>
        <v>960749.99999999988</v>
      </c>
      <c r="K17" s="41"/>
    </row>
    <row r="18" spans="1:11" x14ac:dyDescent="0.25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15"/>
      <c r="H18" s="32">
        <f>+'[1]ELpaso SJ &amp; Prm'!$F34</f>
        <v>5.1269999999999998</v>
      </c>
      <c r="I18" s="17">
        <f>SUM(D18-H18)*F18</f>
        <v>1284329.9999999998</v>
      </c>
      <c r="J18" s="39"/>
      <c r="K18" s="41">
        <f>+I18</f>
        <v>1284329.9999999998</v>
      </c>
    </row>
    <row r="19" spans="1:11" x14ac:dyDescent="0.25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15"/>
      <c r="H19" s="32">
        <f>+'[1]ELpaso SJ &amp; Prm'!$F35</f>
        <v>4.9739999999999993</v>
      </c>
      <c r="I19" s="17">
        <f>SUM(D19-H19)*F19</f>
        <v>1174049.9999999995</v>
      </c>
      <c r="J19" s="39"/>
      <c r="K19" s="41">
        <f>+I19</f>
        <v>1174049.9999999995</v>
      </c>
    </row>
    <row r="20" spans="1:11" x14ac:dyDescent="0.25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f>+'[1]ELpaso SJ &amp; Prm'!$F36</f>
        <v>5.0859999999999994</v>
      </c>
      <c r="I20" s="17">
        <f>SUM(D20-H20)*F20</f>
        <v>1265264.9999999995</v>
      </c>
      <c r="J20" s="39"/>
      <c r="K20" s="41">
        <f>+I20</f>
        <v>1265264.9999999995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7426694.9999999981</v>
      </c>
      <c r="J22" s="35">
        <f>SUM(J9:J20)</f>
        <v>3703049.9999999991</v>
      </c>
      <c r="K22" s="35">
        <f>SUM(K9:K20)</f>
        <v>3723644.9999999986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3" si="3">(+D26-G26)*F26</f>
        <v>48825.000000000196</v>
      </c>
      <c r="J26" s="41">
        <f t="shared" ref="J26:J34" si="4">+I26</f>
        <v>48825.000000000196</v>
      </c>
      <c r="K26" s="41"/>
    </row>
    <row r="27" spans="1:11" x14ac:dyDescent="0.25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5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5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5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5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5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5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61">
        <v>4</v>
      </c>
      <c r="H33" s="61"/>
      <c r="I33" s="17">
        <f t="shared" si="3"/>
        <v>-760274.99999999988</v>
      </c>
      <c r="J33" s="41">
        <f t="shared" si="4"/>
        <v>-760274.99999999988</v>
      </c>
      <c r="K33" s="41"/>
    </row>
    <row r="34" spans="1:11" x14ac:dyDescent="0.25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15"/>
      <c r="H34" s="61">
        <v>4.6399999999999997</v>
      </c>
      <c r="I34" s="17">
        <f>SUM(D34-H34)*F34</f>
        <v>-1023749.9999999998</v>
      </c>
      <c r="J34" s="41">
        <f t="shared" si="4"/>
        <v>-1023749.9999999998</v>
      </c>
      <c r="K34" s="41"/>
    </row>
    <row r="35" spans="1:11" x14ac:dyDescent="0.25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15"/>
      <c r="H35" s="61">
        <f>+'[1]ELpaso SJ &amp; Prm'!$R$9</f>
        <v>4.9146666666666663</v>
      </c>
      <c r="I35" s="17">
        <f>SUM(D35-H35)*F35</f>
        <v>-1185594.9999999998</v>
      </c>
      <c r="J35" s="39"/>
      <c r="K35" s="41">
        <f>+I35</f>
        <v>-1185594.9999999998</v>
      </c>
    </row>
    <row r="36" spans="1:11" x14ac:dyDescent="0.25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15"/>
      <c r="H36" s="61">
        <f>+'[1]ELpaso SJ &amp; Prm'!$R$9</f>
        <v>4.9146666666666663</v>
      </c>
      <c r="I36" s="17">
        <f>SUM(D36-H36)*F36</f>
        <v>-1147349.9999999998</v>
      </c>
      <c r="J36" s="39"/>
      <c r="K36" s="41">
        <f>+I36</f>
        <v>-1147349.9999999998</v>
      </c>
    </row>
    <row r="37" spans="1:11" x14ac:dyDescent="0.25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61">
        <f>+'[1]ELpaso SJ &amp; Prm'!$R$9</f>
        <v>4.9146666666666663</v>
      </c>
      <c r="I37" s="17">
        <f>SUM(D37-H37)*F37</f>
        <v>-1185594.9999999998</v>
      </c>
      <c r="J37" s="39"/>
      <c r="K37" s="41">
        <f>+I37</f>
        <v>-1185594.9999999998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-7507339.9999999991</v>
      </c>
      <c r="J39" s="33">
        <f>SUM(J26:J38)</f>
        <v>-3988799.9999999991</v>
      </c>
      <c r="K39" s="33">
        <f>SUM(K26:K38)</f>
        <v>-3518539.9999999991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-80645.000000000931</v>
      </c>
      <c r="J41" s="34">
        <f>+J39+J22</f>
        <v>-285750</v>
      </c>
      <c r="K41" s="34">
        <f>+K39+K22</f>
        <v>205104.99999999953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  <row r="45" spans="1:11" x14ac:dyDescent="0.25">
      <c r="I45" s="171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5.6640625" bestFit="1" customWidth="1"/>
    <col min="5" max="5" width="0" hidden="1" customWidth="1"/>
    <col min="6" max="6" width="12.6640625" customWidth="1"/>
    <col min="7" max="7" width="13.109375" bestFit="1" customWidth="1"/>
    <col min="8" max="8" width="10.6640625" customWidth="1"/>
    <col min="9" max="9" width="15.44140625" bestFit="1" customWidth="1"/>
    <col min="10" max="10" width="13.44140625" customWidth="1"/>
    <col min="11" max="11" width="15.44140625" bestFit="1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</row>
    <row r="5" spans="1:11" x14ac:dyDescent="0.25">
      <c r="G5" s="168"/>
      <c r="H5" s="168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+[1]Elpaso!$F9</f>
        <v>3.8149999999999999</v>
      </c>
      <c r="I9" s="17">
        <f>(-H9+D9)*F9</f>
        <v>1030000.0000000002</v>
      </c>
      <c r="J9" s="41"/>
      <c r="K9" s="41">
        <f>+I9</f>
        <v>1030000.0000000002</v>
      </c>
    </row>
    <row r="10" spans="1:11" x14ac:dyDescent="0.25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+[1]Elpaso!$F10</f>
        <v>3.81</v>
      </c>
      <c r="I10" s="17">
        <f>(-H10+D10)*F10</f>
        <v>1530000.0000000007</v>
      </c>
      <c r="J10" s="41"/>
      <c r="K10" s="41">
        <f>+I10</f>
        <v>1530000.0000000007</v>
      </c>
    </row>
    <row r="11" spans="1:11" x14ac:dyDescent="0.25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+[1]Elpaso!$F11</f>
        <v>3.819</v>
      </c>
      <c r="I11" s="17">
        <f>(-H11+D11)*F11</f>
        <v>1557000.0000000005</v>
      </c>
      <c r="J11" s="39"/>
      <c r="K11" s="41">
        <f>+I11</f>
        <v>1557000.0000000005</v>
      </c>
    </row>
    <row r="12" spans="1:11" x14ac:dyDescent="0.25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+[1]Elpaso!$F12</f>
        <v>3.8299999999999996</v>
      </c>
      <c r="I12" s="17">
        <f>(-H12+D12)*F12</f>
        <v>1589999.9999999993</v>
      </c>
      <c r="J12" s="39"/>
      <c r="K12" s="41">
        <f>+I12</f>
        <v>1589999.9999999993</v>
      </c>
    </row>
    <row r="13" spans="1:11" x14ac:dyDescent="0.25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+[1]Elpaso!$F13</f>
        <v>3.8499999999999996</v>
      </c>
      <c r="I13" s="17">
        <f>(-H13+D13)*F13</f>
        <v>2199999.9999999991</v>
      </c>
      <c r="J13" s="39"/>
      <c r="K13" s="41">
        <f>+I13</f>
        <v>2199999.9999999991</v>
      </c>
    </row>
    <row r="14" spans="1:11" x14ac:dyDescent="0.25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7907000</v>
      </c>
      <c r="J15" s="39"/>
      <c r="K15" s="17">
        <f>SUM(K9:K14)</f>
        <v>7907000</v>
      </c>
    </row>
    <row r="16" spans="1:11" x14ac:dyDescent="0.25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5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+[1]Elpaso!$F9</f>
        <v>3.8149999999999999</v>
      </c>
      <c r="I17" s="17">
        <f>(+H17-D17)*F17</f>
        <v>-2990000</v>
      </c>
      <c r="J17" s="39"/>
      <c r="K17" s="41">
        <f>+I17</f>
        <v>-2990000</v>
      </c>
    </row>
    <row r="18" spans="1:11" x14ac:dyDescent="0.25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+[1]Elpaso!$F10</f>
        <v>3.81</v>
      </c>
      <c r="I18" s="17">
        <f>(+H18-D18)*F18</f>
        <v>-4470000.0000000009</v>
      </c>
      <c r="J18" s="39"/>
      <c r="K18" s="41">
        <f>+I18</f>
        <v>-4470000.0000000009</v>
      </c>
    </row>
    <row r="19" spans="1:11" x14ac:dyDescent="0.25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+[1]Elpaso!$F11</f>
        <v>3.819</v>
      </c>
      <c r="I19" s="17">
        <f>(+H19-D19)*F19</f>
        <v>-4497000</v>
      </c>
      <c r="J19" s="39"/>
      <c r="K19" s="41">
        <f>+I19</f>
        <v>-4497000</v>
      </c>
    </row>
    <row r="20" spans="1:11" x14ac:dyDescent="0.25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+[1]Elpaso!$F12</f>
        <v>3.8299999999999996</v>
      </c>
      <c r="I20" s="17">
        <f>(+H20-D20)*F20</f>
        <v>-4529999.9999999991</v>
      </c>
      <c r="J20" s="39"/>
      <c r="K20" s="41">
        <f>+I20</f>
        <v>-4529999.9999999991</v>
      </c>
    </row>
    <row r="21" spans="1:11" x14ac:dyDescent="0.25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+[1]Elpaso!$F13</f>
        <v>3.8499999999999996</v>
      </c>
      <c r="I21" s="17">
        <f>(+H21-D21)*F21</f>
        <v>-6119999.9999999991</v>
      </c>
      <c r="J21" s="39"/>
      <c r="K21" s="41">
        <f>+I21</f>
        <v>-6119999.9999999991</v>
      </c>
    </row>
    <row r="22" spans="1:11" x14ac:dyDescent="0.25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5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-22607000</v>
      </c>
      <c r="J23" s="39"/>
      <c r="K23" s="17">
        <f>SUM(K17:K22)</f>
        <v>-22607000</v>
      </c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31"/>
      <c r="G25" s="15"/>
      <c r="H25" s="32"/>
      <c r="I25" s="132">
        <f>+I23+I15</f>
        <v>-14700000</v>
      </c>
      <c r="J25" s="39"/>
      <c r="K25" s="132">
        <f>+K23+K15</f>
        <v>-14700000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2" topLeftCell="J1"/>
      <selection pane="topRight" activeCell="J24" sqref="J2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286285</v>
      </c>
      <c r="J9" s="41"/>
      <c r="K9" s="41">
        <f t="shared" ref="K9:K20" si="1">+I9</f>
        <v>286285</v>
      </c>
    </row>
    <row r="10" spans="1:11" x14ac:dyDescent="0.25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223439.99999999994</v>
      </c>
      <c r="J10" s="41"/>
      <c r="K10" s="41">
        <f t="shared" si="1"/>
        <v>223439.99999999994</v>
      </c>
    </row>
    <row r="11" spans="1:11" x14ac:dyDescent="0.25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209172.50000000006</v>
      </c>
      <c r="J11" s="41"/>
      <c r="K11" s="41">
        <f t="shared" si="1"/>
        <v>209172.50000000006</v>
      </c>
    </row>
    <row r="12" spans="1:11" x14ac:dyDescent="0.25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168375</v>
      </c>
      <c r="J12" s="41"/>
      <c r="K12" s="41">
        <f t="shared" si="1"/>
        <v>168375</v>
      </c>
    </row>
    <row r="13" spans="1:11" x14ac:dyDescent="0.25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162362.49999999997</v>
      </c>
      <c r="J13" s="39"/>
      <c r="K13" s="41">
        <f t="shared" si="1"/>
        <v>162362.49999999997</v>
      </c>
    </row>
    <row r="14" spans="1:11" x14ac:dyDescent="0.25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154874.99999999988</v>
      </c>
      <c r="J14" s="39"/>
      <c r="K14" s="41">
        <f t="shared" si="1"/>
        <v>154874.99999999988</v>
      </c>
    </row>
    <row r="15" spans="1:11" x14ac:dyDescent="0.25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160037.49999999988</v>
      </c>
      <c r="J15" s="39"/>
      <c r="K15" s="41">
        <f t="shared" si="1"/>
        <v>160037.49999999988</v>
      </c>
    </row>
    <row r="16" spans="1:11" x14ac:dyDescent="0.25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160037.49999999988</v>
      </c>
      <c r="J16" s="39"/>
      <c r="K16" s="41">
        <f t="shared" si="1"/>
        <v>160037.49999999988</v>
      </c>
    </row>
    <row r="17" spans="1:11" x14ac:dyDescent="0.25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153374.99999999994</v>
      </c>
      <c r="J17" s="39"/>
      <c r="K17" s="41">
        <f t="shared" si="1"/>
        <v>153374.99999999994</v>
      </c>
    </row>
    <row r="18" spans="1:11" x14ac:dyDescent="0.25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158487.49999999991</v>
      </c>
      <c r="J18" s="39"/>
      <c r="K18" s="41">
        <f t="shared" si="1"/>
        <v>158487.49999999991</v>
      </c>
    </row>
    <row r="19" spans="1:11" x14ac:dyDescent="0.25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171750</v>
      </c>
      <c r="J19" s="39"/>
      <c r="K19" s="41">
        <f t="shared" si="1"/>
        <v>171750</v>
      </c>
    </row>
    <row r="20" spans="1:11" x14ac:dyDescent="0.25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196850</v>
      </c>
      <c r="J20" s="39"/>
      <c r="K20" s="41">
        <f t="shared" si="1"/>
        <v>196850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2205047.5</v>
      </c>
      <c r="J22" s="35">
        <f>SUM(J9:J20)</f>
        <v>0</v>
      </c>
      <c r="K22" s="35">
        <f>SUM(K9:K20)</f>
        <v>2205047.5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-281118.33333333337</v>
      </c>
      <c r="J26" s="41"/>
      <c r="K26" s="41">
        <f t="shared" ref="K26:K37" si="2">+I26</f>
        <v>-281118.33333333337</v>
      </c>
    </row>
    <row r="27" spans="1:11" x14ac:dyDescent="0.25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-219589.99999999997</v>
      </c>
      <c r="J27" s="41"/>
      <c r="K27" s="41">
        <f t="shared" si="2"/>
        <v>-219589.99999999997</v>
      </c>
    </row>
    <row r="28" spans="1:11" x14ac:dyDescent="0.25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-201551.66666666677</v>
      </c>
      <c r="J28" s="41"/>
      <c r="K28" s="41">
        <f t="shared" si="2"/>
        <v>-201551.66666666677</v>
      </c>
    </row>
    <row r="29" spans="1:11" x14ac:dyDescent="0.25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-158375.00000000003</v>
      </c>
      <c r="J29" s="41"/>
      <c r="K29" s="41">
        <f t="shared" si="2"/>
        <v>-158375.00000000003</v>
      </c>
    </row>
    <row r="30" spans="1:11" x14ac:dyDescent="0.25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-152029.16666666669</v>
      </c>
      <c r="J30" s="39"/>
      <c r="K30" s="41">
        <f t="shared" si="2"/>
        <v>-152029.16666666669</v>
      </c>
    </row>
    <row r="31" spans="1:11" x14ac:dyDescent="0.25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-144874.99999999994</v>
      </c>
      <c r="J31" s="39"/>
      <c r="K31" s="41">
        <f t="shared" si="2"/>
        <v>-144874.99999999994</v>
      </c>
    </row>
    <row r="32" spans="1:11" x14ac:dyDescent="0.25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-149962.49999999983</v>
      </c>
      <c r="J32" s="39"/>
      <c r="K32" s="41">
        <f t="shared" si="2"/>
        <v>-149962.49999999983</v>
      </c>
    </row>
    <row r="33" spans="1:11" x14ac:dyDescent="0.25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-149962.49999999983</v>
      </c>
      <c r="J33" s="39"/>
      <c r="K33" s="41">
        <f t="shared" si="2"/>
        <v>-149962.49999999983</v>
      </c>
    </row>
    <row r="34" spans="1:11" x14ac:dyDescent="0.25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-143625</v>
      </c>
      <c r="J34" s="39"/>
      <c r="K34" s="41">
        <f t="shared" si="2"/>
        <v>-143625</v>
      </c>
    </row>
    <row r="35" spans="1:11" x14ac:dyDescent="0.25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-148283.33333333331</v>
      </c>
      <c r="J35" s="39"/>
      <c r="K35" s="41">
        <f t="shared" si="2"/>
        <v>-148283.33333333331</v>
      </c>
    </row>
    <row r="36" spans="1:11" x14ac:dyDescent="0.25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-166124.99999999991</v>
      </c>
      <c r="J36" s="39"/>
      <c r="K36" s="41">
        <f t="shared" si="2"/>
        <v>-166124.99999999991</v>
      </c>
    </row>
    <row r="37" spans="1:11" x14ac:dyDescent="0.25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-190779.16666666669</v>
      </c>
      <c r="J37" s="39"/>
      <c r="K37" s="41">
        <f t="shared" si="2"/>
        <v>-190779.16666666669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-2106276.666666666</v>
      </c>
      <c r="J39" s="33">
        <f>SUM(J26:J38)</f>
        <v>0</v>
      </c>
      <c r="K39" s="33">
        <f>SUM(K26:K38)</f>
        <v>-2106276.666666666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98770.833333333954</v>
      </c>
      <c r="J41" s="34">
        <f>+J39+J22</f>
        <v>0</v>
      </c>
      <c r="K41" s="34">
        <f>+K39+K22</f>
        <v>98770.833333333954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F22" sqref="F22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207234.99999999997</v>
      </c>
      <c r="J9" s="41"/>
      <c r="K9" s="41">
        <f t="shared" ref="K9:K20" si="1">+I9</f>
        <v>207234.99999999997</v>
      </c>
    </row>
    <row r="10" spans="1:11" x14ac:dyDescent="0.25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152039.99999999991</v>
      </c>
      <c r="J10" s="41"/>
      <c r="K10" s="41">
        <f t="shared" si="1"/>
        <v>152039.99999999991</v>
      </c>
    </row>
    <row r="11" spans="1:11" x14ac:dyDescent="0.25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130122.50000000001</v>
      </c>
      <c r="J11" s="41"/>
      <c r="K11" s="41">
        <f t="shared" si="1"/>
        <v>130122.50000000001</v>
      </c>
    </row>
    <row r="12" spans="1:11" x14ac:dyDescent="0.25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91874.999999999971</v>
      </c>
      <c r="J12" s="41"/>
      <c r="K12" s="41">
        <f t="shared" si="1"/>
        <v>91874.999999999971</v>
      </c>
    </row>
    <row r="13" spans="1:11" x14ac:dyDescent="0.25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83312.499999999942</v>
      </c>
      <c r="J13" s="39"/>
      <c r="K13" s="41">
        <f t="shared" si="1"/>
        <v>83312.499999999942</v>
      </c>
    </row>
    <row r="14" spans="1:11" x14ac:dyDescent="0.25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78374.999999999854</v>
      </c>
      <c r="J14" s="39"/>
      <c r="K14" s="41">
        <f t="shared" si="1"/>
        <v>78374.999999999854</v>
      </c>
    </row>
    <row r="15" spans="1:11" x14ac:dyDescent="0.25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80987.499999999854</v>
      </c>
      <c r="J15" s="39"/>
      <c r="K15" s="41">
        <f t="shared" si="1"/>
        <v>80987.499999999854</v>
      </c>
    </row>
    <row r="16" spans="1:11" x14ac:dyDescent="0.25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80987.499999999854</v>
      </c>
      <c r="J16" s="39"/>
      <c r="K16" s="41">
        <f t="shared" si="1"/>
        <v>80987.499999999854</v>
      </c>
    </row>
    <row r="17" spans="1:11" x14ac:dyDescent="0.25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76874.999999999898</v>
      </c>
      <c r="J17" s="39"/>
      <c r="K17" s="41">
        <f t="shared" si="1"/>
        <v>76874.999999999898</v>
      </c>
    </row>
    <row r="18" spans="1:11" x14ac:dyDescent="0.25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79437.499999999884</v>
      </c>
      <c r="J18" s="39"/>
      <c r="K18" s="41">
        <f t="shared" si="1"/>
        <v>79437.499999999884</v>
      </c>
    </row>
    <row r="19" spans="1:11" x14ac:dyDescent="0.25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95249.999999999971</v>
      </c>
      <c r="J19" s="39"/>
      <c r="K19" s="41">
        <f t="shared" si="1"/>
        <v>95249.999999999971</v>
      </c>
    </row>
    <row r="20" spans="1:11" x14ac:dyDescent="0.25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117799.99999999997</v>
      </c>
      <c r="J20" s="39"/>
      <c r="K20" s="41">
        <f t="shared" si="1"/>
        <v>117799.99999999997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1274297.4999999991</v>
      </c>
      <c r="J22" s="35">
        <f>SUM(J9:J20)</f>
        <v>0</v>
      </c>
      <c r="K22" s="35">
        <f>SUM(K9:K20)</f>
        <v>1274297.4999999991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-202068.33333333331</v>
      </c>
      <c r="J26" s="41"/>
      <c r="K26" s="41">
        <f t="shared" ref="K26:K37" si="2">+I26</f>
        <v>-202068.33333333331</v>
      </c>
    </row>
    <row r="27" spans="1:11" x14ac:dyDescent="0.25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-148189.99999999994</v>
      </c>
      <c r="J27" s="41"/>
      <c r="K27" s="41">
        <f t="shared" si="2"/>
        <v>-148189.99999999994</v>
      </c>
    </row>
    <row r="28" spans="1:11" x14ac:dyDescent="0.25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-122501.66666666673</v>
      </c>
      <c r="J28" s="41"/>
      <c r="K28" s="41">
        <f t="shared" si="2"/>
        <v>-122501.66666666673</v>
      </c>
    </row>
    <row r="29" spans="1:11" x14ac:dyDescent="0.25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-81875.000000000015</v>
      </c>
      <c r="J29" s="41"/>
      <c r="K29" s="41">
        <f t="shared" si="2"/>
        <v>-81875.000000000015</v>
      </c>
    </row>
    <row r="30" spans="1:11" x14ac:dyDescent="0.25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-72979.166666666642</v>
      </c>
      <c r="J30" s="39"/>
      <c r="K30" s="41">
        <f t="shared" si="2"/>
        <v>-72979.166666666642</v>
      </c>
    </row>
    <row r="31" spans="1:11" x14ac:dyDescent="0.25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-68374.999999999898</v>
      </c>
      <c r="J31" s="39"/>
      <c r="K31" s="41">
        <f t="shared" si="2"/>
        <v>-68374.999999999898</v>
      </c>
    </row>
    <row r="32" spans="1:11" x14ac:dyDescent="0.25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-70912.499999999796</v>
      </c>
      <c r="J32" s="39"/>
      <c r="K32" s="41">
        <f t="shared" si="2"/>
        <v>-70912.499999999796</v>
      </c>
    </row>
    <row r="33" spans="1:11" x14ac:dyDescent="0.25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-70912.499999999796</v>
      </c>
      <c r="J33" s="39"/>
      <c r="K33" s="41">
        <f t="shared" si="2"/>
        <v>-70912.499999999796</v>
      </c>
    </row>
    <row r="34" spans="1:11" x14ac:dyDescent="0.25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-67124.999999999971</v>
      </c>
      <c r="J34" s="39"/>
      <c r="K34" s="41">
        <f t="shared" si="2"/>
        <v>-67124.999999999971</v>
      </c>
    </row>
    <row r="35" spans="1:11" x14ac:dyDescent="0.25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-69233.333333333285</v>
      </c>
      <c r="J35" s="39"/>
      <c r="K35" s="41">
        <f t="shared" si="2"/>
        <v>-69233.333333333285</v>
      </c>
    </row>
    <row r="36" spans="1:11" x14ac:dyDescent="0.25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-89624.999999999884</v>
      </c>
      <c r="J36" s="39"/>
      <c r="K36" s="41">
        <f t="shared" si="2"/>
        <v>-89624.999999999884</v>
      </c>
    </row>
    <row r="37" spans="1:11" x14ac:dyDescent="0.25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-111729.16666666664</v>
      </c>
      <c r="J37" s="39"/>
      <c r="K37" s="41">
        <f t="shared" si="2"/>
        <v>-111729.16666666664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-1175526.6666666658</v>
      </c>
      <c r="J39" s="33">
        <f>SUM(J26:J38)</f>
        <v>0</v>
      </c>
      <c r="K39" s="33">
        <f>SUM(K26:K38)</f>
        <v>-1175526.6666666658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98770.833333333256</v>
      </c>
      <c r="J41" s="34">
        <f>+J39+J22</f>
        <v>0</v>
      </c>
      <c r="K41" s="34">
        <f>+K39+K22</f>
        <v>98770.833333333256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224285</v>
      </c>
      <c r="J9" s="41"/>
      <c r="K9" s="41">
        <f t="shared" ref="K9:K20" si="1">+I9</f>
        <v>224285</v>
      </c>
    </row>
    <row r="10" spans="1:11" x14ac:dyDescent="0.25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167439.99999999997</v>
      </c>
      <c r="J10" s="41"/>
      <c r="K10" s="41">
        <f t="shared" si="1"/>
        <v>167439.99999999997</v>
      </c>
    </row>
    <row r="11" spans="1:11" x14ac:dyDescent="0.25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147172.50000000006</v>
      </c>
      <c r="J11" s="41"/>
      <c r="K11" s="41">
        <f t="shared" si="1"/>
        <v>147172.50000000006</v>
      </c>
    </row>
    <row r="12" spans="1:11" x14ac:dyDescent="0.25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108375.00000000001</v>
      </c>
      <c r="J12" s="41"/>
      <c r="K12" s="41">
        <f t="shared" si="1"/>
        <v>108375.00000000001</v>
      </c>
    </row>
    <row r="13" spans="1:11" x14ac:dyDescent="0.25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100362.5</v>
      </c>
      <c r="J13" s="39"/>
      <c r="K13" s="41">
        <f t="shared" si="1"/>
        <v>100362.5</v>
      </c>
    </row>
    <row r="14" spans="1:11" x14ac:dyDescent="0.25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94874.999999999913</v>
      </c>
      <c r="J14" s="39"/>
      <c r="K14" s="41">
        <f t="shared" si="1"/>
        <v>94874.999999999913</v>
      </c>
    </row>
    <row r="15" spans="1:11" x14ac:dyDescent="0.25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98037.499999999913</v>
      </c>
      <c r="J15" s="39"/>
      <c r="K15" s="41">
        <f t="shared" si="1"/>
        <v>98037.499999999913</v>
      </c>
    </row>
    <row r="16" spans="1:11" x14ac:dyDescent="0.25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98037.499999999913</v>
      </c>
      <c r="J16" s="39"/>
      <c r="K16" s="41">
        <f t="shared" si="1"/>
        <v>98037.499999999913</v>
      </c>
    </row>
    <row r="17" spans="1:11" x14ac:dyDescent="0.25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93374.999999999942</v>
      </c>
      <c r="J17" s="39"/>
      <c r="K17" s="41">
        <f t="shared" si="1"/>
        <v>93374.999999999942</v>
      </c>
    </row>
    <row r="18" spans="1:11" x14ac:dyDescent="0.25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96487.499999999942</v>
      </c>
      <c r="J18" s="39"/>
      <c r="K18" s="41">
        <f t="shared" si="1"/>
        <v>96487.499999999942</v>
      </c>
    </row>
    <row r="19" spans="1:11" x14ac:dyDescent="0.25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111750.00000000001</v>
      </c>
      <c r="J19" s="39"/>
      <c r="K19" s="41">
        <f t="shared" si="1"/>
        <v>111750.00000000001</v>
      </c>
    </row>
    <row r="20" spans="1:11" x14ac:dyDescent="0.25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134850.00000000003</v>
      </c>
      <c r="J20" s="39"/>
      <c r="K20" s="41">
        <f t="shared" si="1"/>
        <v>134850.00000000003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1475047.4999999995</v>
      </c>
      <c r="J22" s="35">
        <f>SUM(J9:J20)</f>
        <v>0</v>
      </c>
      <c r="K22" s="35">
        <f>SUM(K9:K20)</f>
        <v>1475047.4999999995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-219118.33333333337</v>
      </c>
      <c r="J26" s="41"/>
      <c r="K26" s="41">
        <f t="shared" ref="K26:K37" si="2">+I26</f>
        <v>-219118.33333333337</v>
      </c>
    </row>
    <row r="27" spans="1:11" x14ac:dyDescent="0.25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-163589.99999999997</v>
      </c>
      <c r="J27" s="41"/>
      <c r="K27" s="41">
        <f t="shared" si="2"/>
        <v>-163589.99999999997</v>
      </c>
    </row>
    <row r="28" spans="1:11" x14ac:dyDescent="0.25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-139551.66666666677</v>
      </c>
      <c r="J28" s="41"/>
      <c r="K28" s="41">
        <f t="shared" si="2"/>
        <v>-139551.66666666677</v>
      </c>
    </row>
    <row r="29" spans="1:11" x14ac:dyDescent="0.25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-98375.000000000058</v>
      </c>
      <c r="J29" s="41"/>
      <c r="K29" s="41">
        <f t="shared" si="2"/>
        <v>-98375.000000000058</v>
      </c>
    </row>
    <row r="30" spans="1:11" x14ac:dyDescent="0.25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-90029.166666666701</v>
      </c>
      <c r="J30" s="39"/>
      <c r="K30" s="41">
        <f t="shared" si="2"/>
        <v>-90029.166666666701</v>
      </c>
    </row>
    <row r="31" spans="1:11" x14ac:dyDescent="0.25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-84874.999999999942</v>
      </c>
      <c r="J31" s="39"/>
      <c r="K31" s="41">
        <f t="shared" si="2"/>
        <v>-84874.999999999942</v>
      </c>
    </row>
    <row r="32" spans="1:11" x14ac:dyDescent="0.25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-87962.49999999984</v>
      </c>
      <c r="J32" s="39"/>
      <c r="K32" s="41">
        <f t="shared" si="2"/>
        <v>-87962.49999999984</v>
      </c>
    </row>
    <row r="33" spans="1:11" x14ac:dyDescent="0.25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-87962.49999999984</v>
      </c>
      <c r="J33" s="39"/>
      <c r="K33" s="41">
        <f t="shared" si="2"/>
        <v>-87962.49999999984</v>
      </c>
    </row>
    <row r="34" spans="1:11" x14ac:dyDescent="0.25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-83625.000000000015</v>
      </c>
      <c r="J34" s="39"/>
      <c r="K34" s="41">
        <f t="shared" si="2"/>
        <v>-83625.000000000015</v>
      </c>
    </row>
    <row r="35" spans="1:11" x14ac:dyDescent="0.25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-86283.333333333328</v>
      </c>
      <c r="J35" s="39"/>
      <c r="K35" s="41">
        <f t="shared" si="2"/>
        <v>-86283.333333333328</v>
      </c>
    </row>
    <row r="36" spans="1:11" x14ac:dyDescent="0.25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-106124.99999999994</v>
      </c>
      <c r="J36" s="39"/>
      <c r="K36" s="41">
        <f t="shared" si="2"/>
        <v>-106124.99999999994</v>
      </c>
    </row>
    <row r="37" spans="1:11" x14ac:dyDescent="0.25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-128779.1666666667</v>
      </c>
      <c r="J37" s="39"/>
      <c r="K37" s="41">
        <f t="shared" si="2"/>
        <v>-128779.1666666667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-1376276.6666666667</v>
      </c>
      <c r="J39" s="33">
        <f>SUM(J26:J38)</f>
        <v>0</v>
      </c>
      <c r="K39" s="33">
        <f>SUM(K26:K38)</f>
        <v>-1376276.6666666667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98770.83333333279</v>
      </c>
      <c r="J41" s="34">
        <f>+J39+J22</f>
        <v>0</v>
      </c>
      <c r="K41" s="34">
        <f>+K39+K22</f>
        <v>98770.83333333279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231260</v>
      </c>
      <c r="J9" s="41"/>
      <c r="K9" s="41">
        <f t="shared" ref="K9:K20" si="1">+I9</f>
        <v>231260</v>
      </c>
    </row>
    <row r="10" spans="1:11" x14ac:dyDescent="0.25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173739.99999999994</v>
      </c>
      <c r="J10" s="41"/>
      <c r="K10" s="41">
        <f t="shared" si="1"/>
        <v>173739.99999999994</v>
      </c>
    </row>
    <row r="11" spans="1:11" x14ac:dyDescent="0.25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154147.50000000006</v>
      </c>
      <c r="J11" s="41"/>
      <c r="K11" s="41">
        <f t="shared" si="1"/>
        <v>154147.50000000006</v>
      </c>
    </row>
    <row r="12" spans="1:11" x14ac:dyDescent="0.25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115125.00000000001</v>
      </c>
      <c r="J12" s="41"/>
      <c r="K12" s="41">
        <f t="shared" si="1"/>
        <v>115125.00000000001</v>
      </c>
    </row>
    <row r="13" spans="1:11" x14ac:dyDescent="0.25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107337.49999999999</v>
      </c>
      <c r="J13" s="39"/>
      <c r="K13" s="41">
        <f t="shared" si="1"/>
        <v>107337.49999999999</v>
      </c>
    </row>
    <row r="14" spans="1:11" x14ac:dyDescent="0.25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101624.9999999999</v>
      </c>
      <c r="J14" s="39"/>
      <c r="K14" s="41">
        <f t="shared" si="1"/>
        <v>101624.9999999999</v>
      </c>
    </row>
    <row r="15" spans="1:11" x14ac:dyDescent="0.25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105012.4999999999</v>
      </c>
      <c r="J15" s="39"/>
      <c r="K15" s="41">
        <f t="shared" si="1"/>
        <v>105012.4999999999</v>
      </c>
    </row>
    <row r="16" spans="1:11" x14ac:dyDescent="0.25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105012.4999999999</v>
      </c>
      <c r="J16" s="39"/>
      <c r="K16" s="41">
        <f t="shared" si="1"/>
        <v>105012.4999999999</v>
      </c>
    </row>
    <row r="17" spans="1:11" x14ac:dyDescent="0.25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100124.99999999993</v>
      </c>
      <c r="J17" s="39"/>
      <c r="K17" s="41">
        <f t="shared" si="1"/>
        <v>100124.99999999993</v>
      </c>
    </row>
    <row r="18" spans="1:11" x14ac:dyDescent="0.25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103462.49999999993</v>
      </c>
      <c r="J18" s="39"/>
      <c r="K18" s="41">
        <f t="shared" si="1"/>
        <v>103462.49999999993</v>
      </c>
    </row>
    <row r="19" spans="1:11" x14ac:dyDescent="0.25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118500</v>
      </c>
      <c r="J19" s="39"/>
      <c r="K19" s="41">
        <f t="shared" si="1"/>
        <v>118500</v>
      </c>
    </row>
    <row r="20" spans="1:11" x14ac:dyDescent="0.25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141825</v>
      </c>
      <c r="J20" s="39"/>
      <c r="K20" s="41">
        <f t="shared" si="1"/>
        <v>141825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1557172.4999999998</v>
      </c>
      <c r="J22" s="35">
        <f>SUM(J9:J20)</f>
        <v>0</v>
      </c>
      <c r="K22" s="35">
        <f>SUM(K9:K20)</f>
        <v>1557172.4999999998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-226093.33333333334</v>
      </c>
      <c r="J26" s="41"/>
      <c r="K26" s="41">
        <f t="shared" ref="K26:K37" si="2">+I26</f>
        <v>-226093.33333333334</v>
      </c>
    </row>
    <row r="27" spans="1:11" x14ac:dyDescent="0.25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-169889.99999999997</v>
      </c>
      <c r="J27" s="41"/>
      <c r="K27" s="41">
        <f t="shared" si="2"/>
        <v>-169889.99999999997</v>
      </c>
    </row>
    <row r="28" spans="1:11" x14ac:dyDescent="0.25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-146526.66666666677</v>
      </c>
      <c r="J28" s="41"/>
      <c r="K28" s="41">
        <f t="shared" si="2"/>
        <v>-146526.66666666677</v>
      </c>
    </row>
    <row r="29" spans="1:11" x14ac:dyDescent="0.25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-105125.00000000004</v>
      </c>
      <c r="J29" s="41"/>
      <c r="K29" s="41">
        <f t="shared" si="2"/>
        <v>-105125.00000000004</v>
      </c>
    </row>
    <row r="30" spans="1:11" x14ac:dyDescent="0.25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-97004.166666666686</v>
      </c>
      <c r="J30" s="39"/>
      <c r="K30" s="41">
        <f t="shared" si="2"/>
        <v>-97004.166666666686</v>
      </c>
    </row>
    <row r="31" spans="1:11" x14ac:dyDescent="0.25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-91624.999999999927</v>
      </c>
      <c r="J31" s="39"/>
      <c r="K31" s="41">
        <f t="shared" si="2"/>
        <v>-91624.999999999927</v>
      </c>
    </row>
    <row r="32" spans="1:11" x14ac:dyDescent="0.25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-94937.49999999984</v>
      </c>
      <c r="J32" s="39"/>
      <c r="K32" s="41">
        <f t="shared" si="2"/>
        <v>-94937.49999999984</v>
      </c>
    </row>
    <row r="33" spans="1:11" x14ac:dyDescent="0.25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-94937.49999999984</v>
      </c>
      <c r="J33" s="39"/>
      <c r="K33" s="41">
        <f t="shared" si="2"/>
        <v>-94937.49999999984</v>
      </c>
    </row>
    <row r="34" spans="1:11" x14ac:dyDescent="0.25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-90375</v>
      </c>
      <c r="J34" s="39"/>
      <c r="K34" s="41">
        <f t="shared" si="2"/>
        <v>-90375</v>
      </c>
    </row>
    <row r="35" spans="1:11" x14ac:dyDescent="0.25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-93258.333333333314</v>
      </c>
      <c r="J35" s="39"/>
      <c r="K35" s="41">
        <f t="shared" si="2"/>
        <v>-93258.333333333314</v>
      </c>
    </row>
    <row r="36" spans="1:11" x14ac:dyDescent="0.25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-112874.99999999993</v>
      </c>
      <c r="J36" s="39"/>
      <c r="K36" s="41">
        <f t="shared" si="2"/>
        <v>-112874.99999999993</v>
      </c>
    </row>
    <row r="37" spans="1:11" x14ac:dyDescent="0.25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-135754.16666666669</v>
      </c>
      <c r="J37" s="39"/>
      <c r="K37" s="41">
        <f t="shared" si="2"/>
        <v>-135754.16666666669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-1458401.6666666665</v>
      </c>
      <c r="J39" s="33">
        <f>SUM(J26:J38)</f>
        <v>0</v>
      </c>
      <c r="K39" s="33">
        <f>SUM(K26:K38)</f>
        <v>-1458401.6666666665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98770.833333333256</v>
      </c>
      <c r="J41" s="34">
        <f>+J39+J22</f>
        <v>0</v>
      </c>
      <c r="K41" s="34">
        <f>+K39+K22</f>
        <v>98770.833333333256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A4" sqref="A4"/>
    </sheetView>
  </sheetViews>
  <sheetFormatPr defaultRowHeight="13.2" x14ac:dyDescent="0.25"/>
  <cols>
    <col min="1" max="2" width="10.6640625" customWidth="1"/>
    <col min="3" max="3" width="17.33203125" bestFit="1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127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SUM(F9:F10)</f>
        <v>-155000</v>
      </c>
      <c r="G12" s="15"/>
      <c r="H12" s="169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A4" sqref="A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130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128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155000</v>
      </c>
      <c r="G12" s="15"/>
      <c r="H12" s="169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Summary</vt:lpstr>
      <vt:lpstr>RMTC_2</vt:lpstr>
      <vt:lpstr>Elpaso_6</vt:lpstr>
      <vt:lpstr>ENA_9</vt:lpstr>
      <vt:lpstr>ENA_11</vt:lpstr>
      <vt:lpstr>ENA_12</vt:lpstr>
      <vt:lpstr>ENA_13</vt:lpstr>
      <vt:lpstr>El Paso_18</vt:lpstr>
      <vt:lpstr>ENA_19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2000-10-30T19:42:35Z</cp:lastPrinted>
  <dcterms:created xsi:type="dcterms:W3CDTF">1999-02-26T14:05:48Z</dcterms:created>
  <dcterms:modified xsi:type="dcterms:W3CDTF">2023-09-10T11:37:35Z</dcterms:modified>
</cp:coreProperties>
</file>