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76" windowWidth="11100" windowHeight="6600"/>
  </bookViews>
  <sheets>
    <sheet name="Cover" sheetId="1" r:id="rId1"/>
    <sheet name="Graph" sheetId="2" r:id="rId2"/>
    <sheet name="NNG-Income-Sum" sheetId="3" r:id="rId3"/>
    <sheet name="NNG-VARIANCE" sheetId="4" r:id="rId4"/>
    <sheet name="TW-Income-Sum" sheetId="5" r:id="rId5"/>
    <sheet name="TW-VARIANCE" sheetId="6" r:id="rId6"/>
    <sheet name="ET&amp;S-O&amp;M" sheetId="7" r:id="rId7"/>
    <sheet name="NNG-O&amp;M" sheetId="8" r:id="rId8"/>
    <sheet name="TW-O&amp;M" sheetId="9" r:id="rId9"/>
    <sheet name="updown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0">Cover!$A$1:$M$18</definedName>
    <definedName name="_xlnm.Print_Area" localSheetId="6">'ET&amp;S-O&amp;M'!$A$1:$M$47</definedName>
    <definedName name="_xlnm.Print_Area" localSheetId="1">Graph!$A$1:$H$22</definedName>
    <definedName name="_xlnm.Print_Area" localSheetId="2">'NNG-Income-Sum'!$A$1:$N$52</definedName>
    <definedName name="_xlnm.Print_Area" localSheetId="7">'NNG-O&amp;M'!$A$1:$N$48</definedName>
    <definedName name="_xlnm.Print_Area" localSheetId="4">'TW-Income-Sum'!$A$1:$N$40</definedName>
    <definedName name="_xlnm.Print_Area" localSheetId="8">'TW-O&amp;M'!$A$1:$L$48</definedName>
    <definedName name="_xlnm.Print_Area" localSheetId="9">updown!$A$1:$N$47</definedName>
    <definedName name="_xlnm.Print_Titles" localSheetId="2">'NNG-Income-Sum'!$1:$5</definedName>
    <definedName name="_xlnm.Print_Titles" localSheetId="4">'TW-Income-Sum'!$1:$5</definedName>
    <definedName name="Print_Titles_MI" localSheetId="9">#REF!</definedName>
    <definedName name="Print_Titles_MI">#REF!</definedName>
  </definedNames>
  <calcPr calcId="0" fullCalcOnLoad="1"/>
</workbook>
</file>

<file path=xl/calcChain.xml><?xml version="1.0" encoding="utf-8"?>
<calcChain xmlns="http://schemas.openxmlformats.org/spreadsheetml/2006/main">
  <c r="C8" i="7" l="1"/>
  <c r="E8" i="7"/>
  <c r="G8" i="7"/>
  <c r="I8" i="7"/>
  <c r="K8" i="7"/>
  <c r="C9" i="7"/>
  <c r="E9" i="7"/>
  <c r="G9" i="7"/>
  <c r="I9" i="7"/>
  <c r="K9" i="7"/>
  <c r="C10" i="7"/>
  <c r="E10" i="7"/>
  <c r="G10" i="7"/>
  <c r="I10" i="7"/>
  <c r="K10" i="7"/>
  <c r="C11" i="7"/>
  <c r="E11" i="7"/>
  <c r="G11" i="7"/>
  <c r="I11" i="7"/>
  <c r="K11" i="7"/>
  <c r="C12" i="7"/>
  <c r="E12" i="7"/>
  <c r="G12" i="7"/>
  <c r="I12" i="7"/>
  <c r="K12" i="7"/>
  <c r="C13" i="7"/>
  <c r="E13" i="7"/>
  <c r="G13" i="7"/>
  <c r="I13" i="7"/>
  <c r="K13" i="7"/>
  <c r="C14" i="7"/>
  <c r="E14" i="7"/>
  <c r="G14" i="7"/>
  <c r="I14" i="7"/>
  <c r="K14" i="7"/>
  <c r="C15" i="7"/>
  <c r="E15" i="7"/>
  <c r="G15" i="7"/>
  <c r="I15" i="7"/>
  <c r="K15" i="7"/>
  <c r="C16" i="7"/>
  <c r="E16" i="7"/>
  <c r="G16" i="7"/>
  <c r="I16" i="7"/>
  <c r="K16" i="7"/>
  <c r="C17" i="7"/>
  <c r="E17" i="7"/>
  <c r="G17" i="7"/>
  <c r="I17" i="7"/>
  <c r="K17" i="7"/>
  <c r="C18" i="7"/>
  <c r="E18" i="7"/>
  <c r="G18" i="7"/>
  <c r="I18" i="7"/>
  <c r="K18" i="7"/>
  <c r="C19" i="7"/>
  <c r="E19" i="7"/>
  <c r="G19" i="7"/>
  <c r="I19" i="7"/>
  <c r="K19" i="7"/>
  <c r="C22" i="7"/>
  <c r="E22" i="7"/>
  <c r="G22" i="7"/>
  <c r="I22" i="7"/>
  <c r="K22" i="7"/>
  <c r="C23" i="7"/>
  <c r="E23" i="7"/>
  <c r="G23" i="7"/>
  <c r="I23" i="7"/>
  <c r="K23" i="7"/>
  <c r="C24" i="7"/>
  <c r="E24" i="7"/>
  <c r="G24" i="7"/>
  <c r="I24" i="7"/>
  <c r="K24" i="7"/>
  <c r="C25" i="7"/>
  <c r="E25" i="7"/>
  <c r="G25" i="7"/>
  <c r="I25" i="7"/>
  <c r="K25" i="7"/>
  <c r="C26" i="7"/>
  <c r="E26" i="7"/>
  <c r="G26" i="7"/>
  <c r="I26" i="7"/>
  <c r="K26" i="7"/>
  <c r="C27" i="7"/>
  <c r="E27" i="7"/>
  <c r="G27" i="7"/>
  <c r="I27" i="7"/>
  <c r="K27" i="7"/>
  <c r="C28" i="7"/>
  <c r="E28" i="7"/>
  <c r="G28" i="7"/>
  <c r="I28" i="7"/>
  <c r="K28" i="7"/>
  <c r="C31" i="7"/>
  <c r="E31" i="7"/>
  <c r="G31" i="7"/>
  <c r="I31" i="7"/>
  <c r="K31" i="7"/>
  <c r="C32" i="7"/>
  <c r="E32" i="7"/>
  <c r="G32" i="7"/>
  <c r="I32" i="7"/>
  <c r="K32" i="7"/>
  <c r="C33" i="7"/>
  <c r="E33" i="7"/>
  <c r="G33" i="7"/>
  <c r="I33" i="7"/>
  <c r="K33" i="7"/>
  <c r="C34" i="7"/>
  <c r="E34" i="7"/>
  <c r="G34" i="7"/>
  <c r="I34" i="7"/>
  <c r="K34" i="7"/>
  <c r="C35" i="7"/>
  <c r="E35" i="7"/>
  <c r="G35" i="7"/>
  <c r="I35" i="7"/>
  <c r="K35" i="7"/>
  <c r="C36" i="7"/>
  <c r="E36" i="7"/>
  <c r="G36" i="7"/>
  <c r="I36" i="7"/>
  <c r="K36" i="7"/>
  <c r="C37" i="7"/>
  <c r="E37" i="7"/>
  <c r="G37" i="7"/>
  <c r="I37" i="7"/>
  <c r="K37" i="7"/>
  <c r="C38" i="7"/>
  <c r="E38" i="7"/>
  <c r="G38" i="7"/>
  <c r="I38" i="7"/>
  <c r="K38" i="7"/>
  <c r="C39" i="7"/>
  <c r="E39" i="7"/>
  <c r="G39" i="7"/>
  <c r="I39" i="7"/>
  <c r="K39" i="7"/>
  <c r="C40" i="7"/>
  <c r="E40" i="7"/>
  <c r="G40" i="7"/>
  <c r="I40" i="7"/>
  <c r="K40" i="7"/>
  <c r="C42" i="7"/>
  <c r="E42" i="7"/>
  <c r="G42" i="7"/>
  <c r="I42" i="7"/>
  <c r="K42" i="7"/>
  <c r="C44" i="7"/>
  <c r="E44" i="7"/>
  <c r="G44" i="7"/>
  <c r="I44" i="7"/>
  <c r="K44" i="7"/>
  <c r="N7" i="3"/>
  <c r="N10" i="3"/>
  <c r="F12" i="3"/>
  <c r="H12" i="3"/>
  <c r="J12" i="3"/>
  <c r="L12" i="3"/>
  <c r="N12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L33" i="3"/>
  <c r="N33" i="3"/>
  <c r="J34" i="3"/>
  <c r="N34" i="3"/>
  <c r="F35" i="3"/>
  <c r="H35" i="3"/>
  <c r="N35" i="3"/>
  <c r="F37" i="3"/>
  <c r="H37" i="3"/>
  <c r="J37" i="3"/>
  <c r="L37" i="3"/>
  <c r="N37" i="3"/>
  <c r="F39" i="3"/>
  <c r="H39" i="3"/>
  <c r="J39" i="3"/>
  <c r="L39" i="3"/>
  <c r="N39" i="3"/>
  <c r="N42" i="3"/>
  <c r="F44" i="3"/>
  <c r="H44" i="3"/>
  <c r="J44" i="3"/>
  <c r="L44" i="3"/>
  <c r="N44" i="3"/>
  <c r="F45" i="3"/>
  <c r="N45" i="3"/>
  <c r="N46" i="3"/>
  <c r="N47" i="3"/>
  <c r="N48" i="3"/>
  <c r="F49" i="3"/>
  <c r="H49" i="3"/>
  <c r="J49" i="3"/>
  <c r="L49" i="3"/>
  <c r="N49" i="3"/>
  <c r="F51" i="3"/>
  <c r="H51" i="3"/>
  <c r="J51" i="3"/>
  <c r="L51" i="3"/>
  <c r="N51" i="3"/>
  <c r="A54" i="3"/>
  <c r="C8" i="8"/>
  <c r="E8" i="8"/>
  <c r="G8" i="8"/>
  <c r="I8" i="8"/>
  <c r="K8" i="8"/>
  <c r="C9" i="8"/>
  <c r="E9" i="8"/>
  <c r="G9" i="8"/>
  <c r="I9" i="8"/>
  <c r="K9" i="8"/>
  <c r="C10" i="8"/>
  <c r="E10" i="8"/>
  <c r="G10" i="8"/>
  <c r="I10" i="8"/>
  <c r="K10" i="8"/>
  <c r="C11" i="8"/>
  <c r="E11" i="8"/>
  <c r="G11" i="8"/>
  <c r="I11" i="8"/>
  <c r="K11" i="8"/>
  <c r="C12" i="8"/>
  <c r="E12" i="8"/>
  <c r="G12" i="8"/>
  <c r="I12" i="8"/>
  <c r="K12" i="8"/>
  <c r="C13" i="8"/>
  <c r="E13" i="8"/>
  <c r="G13" i="8"/>
  <c r="I13" i="8"/>
  <c r="K13" i="8"/>
  <c r="C14" i="8"/>
  <c r="E14" i="8"/>
  <c r="G14" i="8"/>
  <c r="I14" i="8"/>
  <c r="K14" i="8"/>
  <c r="C15" i="8"/>
  <c r="E15" i="8"/>
  <c r="G15" i="8"/>
  <c r="I15" i="8"/>
  <c r="K15" i="8"/>
  <c r="C16" i="8"/>
  <c r="E16" i="8"/>
  <c r="G16" i="8"/>
  <c r="I16" i="8"/>
  <c r="K16" i="8"/>
  <c r="C17" i="8"/>
  <c r="E17" i="8"/>
  <c r="G17" i="8"/>
  <c r="I17" i="8"/>
  <c r="K17" i="8"/>
  <c r="C18" i="8"/>
  <c r="E18" i="8"/>
  <c r="G18" i="8"/>
  <c r="I18" i="8"/>
  <c r="K18" i="8"/>
  <c r="C19" i="8"/>
  <c r="E19" i="8"/>
  <c r="G19" i="8"/>
  <c r="I19" i="8"/>
  <c r="K19" i="8"/>
  <c r="C22" i="8"/>
  <c r="E22" i="8"/>
  <c r="G22" i="8"/>
  <c r="I22" i="8"/>
  <c r="K22" i="8"/>
  <c r="C23" i="8"/>
  <c r="E23" i="8"/>
  <c r="G23" i="8"/>
  <c r="I23" i="8"/>
  <c r="K23" i="8"/>
  <c r="C24" i="8"/>
  <c r="E24" i="8"/>
  <c r="G24" i="8"/>
  <c r="I24" i="8"/>
  <c r="K24" i="8"/>
  <c r="C25" i="8"/>
  <c r="E25" i="8"/>
  <c r="G25" i="8"/>
  <c r="I25" i="8"/>
  <c r="K25" i="8"/>
  <c r="C26" i="8"/>
  <c r="E26" i="8"/>
  <c r="G26" i="8"/>
  <c r="I26" i="8"/>
  <c r="K26" i="8"/>
  <c r="C27" i="8"/>
  <c r="E27" i="8"/>
  <c r="G27" i="8"/>
  <c r="I27" i="8"/>
  <c r="K27" i="8"/>
  <c r="C28" i="8"/>
  <c r="E28" i="8"/>
  <c r="G28" i="8"/>
  <c r="I28" i="8"/>
  <c r="K28" i="8"/>
  <c r="C31" i="8"/>
  <c r="E31" i="8"/>
  <c r="G31" i="8"/>
  <c r="I31" i="8"/>
  <c r="K31" i="8"/>
  <c r="C32" i="8"/>
  <c r="E32" i="8"/>
  <c r="G32" i="8"/>
  <c r="I32" i="8"/>
  <c r="K32" i="8"/>
  <c r="C33" i="8"/>
  <c r="E33" i="8"/>
  <c r="G33" i="8"/>
  <c r="I33" i="8"/>
  <c r="K33" i="8"/>
  <c r="C34" i="8"/>
  <c r="E34" i="8"/>
  <c r="G34" i="8"/>
  <c r="I34" i="8"/>
  <c r="K34" i="8"/>
  <c r="C35" i="8"/>
  <c r="E35" i="8"/>
  <c r="G35" i="8"/>
  <c r="I35" i="8"/>
  <c r="K35" i="8"/>
  <c r="C36" i="8"/>
  <c r="E36" i="8"/>
  <c r="G36" i="8"/>
  <c r="I36" i="8"/>
  <c r="K36" i="8"/>
  <c r="C37" i="8"/>
  <c r="E37" i="8"/>
  <c r="G37" i="8"/>
  <c r="I37" i="8"/>
  <c r="K37" i="8"/>
  <c r="C38" i="8"/>
  <c r="E38" i="8"/>
  <c r="G38" i="8"/>
  <c r="I38" i="8"/>
  <c r="K38" i="8"/>
  <c r="C39" i="8"/>
  <c r="E39" i="8"/>
  <c r="G39" i="8"/>
  <c r="I39" i="8"/>
  <c r="K39" i="8"/>
  <c r="C40" i="8"/>
  <c r="E40" i="8"/>
  <c r="G40" i="8"/>
  <c r="I40" i="8"/>
  <c r="K40" i="8"/>
  <c r="C42" i="8"/>
  <c r="E42" i="8"/>
  <c r="G42" i="8"/>
  <c r="I42" i="8"/>
  <c r="K42" i="8"/>
  <c r="C44" i="8"/>
  <c r="E44" i="8"/>
  <c r="G44" i="8"/>
  <c r="I44" i="8"/>
  <c r="K44" i="8"/>
  <c r="H11" i="4"/>
  <c r="H12" i="4"/>
  <c r="H13" i="4"/>
  <c r="H14" i="4"/>
  <c r="H15" i="4"/>
  <c r="H16" i="4"/>
  <c r="H17" i="4"/>
  <c r="H18" i="4"/>
  <c r="E19" i="4"/>
  <c r="F19" i="4"/>
  <c r="G19" i="4"/>
  <c r="H19" i="4"/>
  <c r="H21" i="4"/>
  <c r="H22" i="4"/>
  <c r="H23" i="4"/>
  <c r="H24" i="4"/>
  <c r="E25" i="4"/>
  <c r="F25" i="4"/>
  <c r="G25" i="4"/>
  <c r="H25" i="4"/>
  <c r="H27" i="4"/>
  <c r="H28" i="4"/>
  <c r="H29" i="4"/>
  <c r="E30" i="4"/>
  <c r="F30" i="4"/>
  <c r="G30" i="4"/>
  <c r="H30" i="4"/>
  <c r="H32" i="4"/>
  <c r="H33" i="4"/>
  <c r="H34" i="4"/>
  <c r="H35" i="4"/>
  <c r="F37" i="4"/>
  <c r="H37" i="4"/>
  <c r="E39" i="4"/>
  <c r="F39" i="4"/>
  <c r="G39" i="4"/>
  <c r="H39" i="4"/>
  <c r="N7" i="5"/>
  <c r="N11" i="5"/>
  <c r="F12" i="5"/>
  <c r="L12" i="5"/>
  <c r="N12" i="5"/>
  <c r="N13" i="5"/>
  <c r="N14" i="5"/>
  <c r="N15" i="5"/>
  <c r="N16" i="5"/>
  <c r="H17" i="5"/>
  <c r="J17" i="5"/>
  <c r="L17" i="5"/>
  <c r="N17" i="5"/>
  <c r="N18" i="5"/>
  <c r="N19" i="5"/>
  <c r="F21" i="5"/>
  <c r="H21" i="5"/>
  <c r="J21" i="5"/>
  <c r="L21" i="5"/>
  <c r="N21" i="5"/>
  <c r="F23" i="5"/>
  <c r="H23" i="5"/>
  <c r="J23" i="5"/>
  <c r="L23" i="5"/>
  <c r="N23" i="5"/>
  <c r="N28" i="5"/>
  <c r="N29" i="5"/>
  <c r="N32" i="5"/>
  <c r="F34" i="5"/>
  <c r="H34" i="5"/>
  <c r="J34" i="5"/>
  <c r="L34" i="5"/>
  <c r="N34" i="5"/>
  <c r="N35" i="5"/>
  <c r="N36" i="5"/>
  <c r="F37" i="5"/>
  <c r="H37" i="5"/>
  <c r="J37" i="5"/>
  <c r="L37" i="5"/>
  <c r="N37" i="5"/>
  <c r="F39" i="5"/>
  <c r="H39" i="5"/>
  <c r="J39" i="5"/>
  <c r="L39" i="5"/>
  <c r="N39" i="5"/>
  <c r="A48" i="5"/>
  <c r="C8" i="9"/>
  <c r="E8" i="9"/>
  <c r="G8" i="9"/>
  <c r="I8" i="9"/>
  <c r="K8" i="9"/>
  <c r="C9" i="9"/>
  <c r="E9" i="9"/>
  <c r="G9" i="9"/>
  <c r="I9" i="9"/>
  <c r="K9" i="9"/>
  <c r="C10" i="9"/>
  <c r="E10" i="9"/>
  <c r="G10" i="9"/>
  <c r="I10" i="9"/>
  <c r="K10" i="9"/>
  <c r="C11" i="9"/>
  <c r="E11" i="9"/>
  <c r="G11" i="9"/>
  <c r="I11" i="9"/>
  <c r="K11" i="9"/>
  <c r="C12" i="9"/>
  <c r="E12" i="9"/>
  <c r="G12" i="9"/>
  <c r="I12" i="9"/>
  <c r="K12" i="9"/>
  <c r="C13" i="9"/>
  <c r="E13" i="9"/>
  <c r="G13" i="9"/>
  <c r="I13" i="9"/>
  <c r="K13" i="9"/>
  <c r="C14" i="9"/>
  <c r="E14" i="9"/>
  <c r="G14" i="9"/>
  <c r="I14" i="9"/>
  <c r="K14" i="9"/>
  <c r="C15" i="9"/>
  <c r="E15" i="9"/>
  <c r="G15" i="9"/>
  <c r="I15" i="9"/>
  <c r="K15" i="9"/>
  <c r="C16" i="9"/>
  <c r="E16" i="9"/>
  <c r="G16" i="9"/>
  <c r="I16" i="9"/>
  <c r="K16" i="9"/>
  <c r="C17" i="9"/>
  <c r="E17" i="9"/>
  <c r="G17" i="9"/>
  <c r="I17" i="9"/>
  <c r="K17" i="9"/>
  <c r="C18" i="9"/>
  <c r="E18" i="9"/>
  <c r="G18" i="9"/>
  <c r="I18" i="9"/>
  <c r="K18" i="9"/>
  <c r="C19" i="9"/>
  <c r="E19" i="9"/>
  <c r="G19" i="9"/>
  <c r="I19" i="9"/>
  <c r="K19" i="9"/>
  <c r="C22" i="9"/>
  <c r="E22" i="9"/>
  <c r="G22" i="9"/>
  <c r="I22" i="9"/>
  <c r="K22" i="9"/>
  <c r="C23" i="9"/>
  <c r="E23" i="9"/>
  <c r="G23" i="9"/>
  <c r="I23" i="9"/>
  <c r="K23" i="9"/>
  <c r="C24" i="9"/>
  <c r="E24" i="9"/>
  <c r="G24" i="9"/>
  <c r="I24" i="9"/>
  <c r="K24" i="9"/>
  <c r="C25" i="9"/>
  <c r="E25" i="9"/>
  <c r="G25" i="9"/>
  <c r="I25" i="9"/>
  <c r="K25" i="9"/>
  <c r="C26" i="9"/>
  <c r="E26" i="9"/>
  <c r="G26" i="9"/>
  <c r="I26" i="9"/>
  <c r="K26" i="9"/>
  <c r="C27" i="9"/>
  <c r="E27" i="9"/>
  <c r="G27" i="9"/>
  <c r="I27" i="9"/>
  <c r="K27" i="9"/>
  <c r="C28" i="9"/>
  <c r="E28" i="9"/>
  <c r="G28" i="9"/>
  <c r="I28" i="9"/>
  <c r="K28" i="9"/>
  <c r="C31" i="9"/>
  <c r="E31" i="9"/>
  <c r="G31" i="9"/>
  <c r="I31" i="9"/>
  <c r="K31" i="9"/>
  <c r="C32" i="9"/>
  <c r="E32" i="9"/>
  <c r="G32" i="9"/>
  <c r="I32" i="9"/>
  <c r="K32" i="9"/>
  <c r="C33" i="9"/>
  <c r="E33" i="9"/>
  <c r="G33" i="9"/>
  <c r="I33" i="9"/>
  <c r="K33" i="9"/>
  <c r="C34" i="9"/>
  <c r="E34" i="9"/>
  <c r="G34" i="9"/>
  <c r="I34" i="9"/>
  <c r="K34" i="9"/>
  <c r="C35" i="9"/>
  <c r="E35" i="9"/>
  <c r="G35" i="9"/>
  <c r="I35" i="9"/>
  <c r="K35" i="9"/>
  <c r="C36" i="9"/>
  <c r="E36" i="9"/>
  <c r="G36" i="9"/>
  <c r="I36" i="9"/>
  <c r="K36" i="9"/>
  <c r="C37" i="9"/>
  <c r="E37" i="9"/>
  <c r="G37" i="9"/>
  <c r="I37" i="9"/>
  <c r="K37" i="9"/>
  <c r="C38" i="9"/>
  <c r="E38" i="9"/>
  <c r="G38" i="9"/>
  <c r="I38" i="9"/>
  <c r="K38" i="9"/>
  <c r="C39" i="9"/>
  <c r="E39" i="9"/>
  <c r="G39" i="9"/>
  <c r="I39" i="9"/>
  <c r="K39" i="9"/>
  <c r="C40" i="9"/>
  <c r="E40" i="9"/>
  <c r="G40" i="9"/>
  <c r="I40" i="9"/>
  <c r="K40" i="9"/>
  <c r="C42" i="9"/>
  <c r="E42" i="9"/>
  <c r="G42" i="9"/>
  <c r="I42" i="9"/>
  <c r="K42" i="9"/>
  <c r="C44" i="9"/>
  <c r="E44" i="9"/>
  <c r="G44" i="9"/>
  <c r="I44" i="9"/>
  <c r="K44" i="9"/>
  <c r="R9" i="6"/>
  <c r="R11" i="6"/>
  <c r="R13" i="6"/>
  <c r="R15" i="6"/>
  <c r="R17" i="6"/>
  <c r="R19" i="6"/>
  <c r="R21" i="6"/>
  <c r="R23" i="6"/>
  <c r="G25" i="6"/>
  <c r="R25" i="6"/>
  <c r="R27" i="6"/>
  <c r="R29" i="6"/>
  <c r="R31" i="6"/>
  <c r="E33" i="6"/>
  <c r="F33" i="6"/>
  <c r="G33" i="6"/>
  <c r="R33" i="6"/>
  <c r="R35" i="6"/>
  <c r="F36" i="6"/>
  <c r="G36" i="6"/>
  <c r="R36" i="6"/>
  <c r="R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J11" i="10"/>
  <c r="J13" i="10"/>
</calcChain>
</file>

<file path=xl/sharedStrings.xml><?xml version="1.0" encoding="utf-8"?>
<sst xmlns="http://schemas.openxmlformats.org/spreadsheetml/2006/main" count="406" uniqueCount="236">
  <si>
    <t>ENRON TRANSPORTATION &amp; STORAGE</t>
  </si>
  <si>
    <t>2000 FIRST QUARTER FORECAST</t>
  </si>
  <si>
    <t>GRAPH</t>
  </si>
  <si>
    <t>NORTHERN NATURAL GAS GROUP</t>
  </si>
  <si>
    <t>(Millions of Dollars)</t>
  </si>
  <si>
    <t>1st Qtr</t>
  </si>
  <si>
    <t>2nd Qtr</t>
  </si>
  <si>
    <t>3rd Qtr</t>
  </si>
  <si>
    <t>4th Qtr</t>
  </si>
  <si>
    <t>Total</t>
  </si>
  <si>
    <t xml:space="preserve"> Income Before Interest &amp; Taxes - Plan</t>
  </si>
  <si>
    <t xml:space="preserve">    Margins - See Schedule Page 3 for 1st Qtr. Variance.</t>
  </si>
  <si>
    <t xml:space="preserve">    O&amp;M - See Schedule Page 7 for 1st Qtr. Variance.</t>
  </si>
  <si>
    <t xml:space="preserve">    Base Gas Sale</t>
  </si>
  <si>
    <t xml:space="preserve">    SBA Fees (Base Gas Monetization)</t>
  </si>
  <si>
    <t xml:space="preserve">    Structured Products - Non Recurring</t>
  </si>
  <si>
    <t xml:space="preserve">    Helium Sales</t>
  </si>
  <si>
    <t xml:space="preserve">    WIC Shipper Credit</t>
  </si>
  <si>
    <t xml:space="preserve">    TBPL Shipper Credit ('98 &amp; '99)</t>
  </si>
  <si>
    <t xml:space="preserve">    FAS 125 Adjustment (Partnership Income)</t>
  </si>
  <si>
    <t xml:space="preserve">    Trailblazer Ptnrshp Income Add'l 1/3 Interest</t>
  </si>
  <si>
    <t xml:space="preserve">    GRI Discount Adjustments in Addition to Plan of .5</t>
  </si>
  <si>
    <t xml:space="preserve">    Overthrust Equity Income </t>
  </si>
  <si>
    <t xml:space="preserve">    Sale of Overthrust Partnership </t>
  </si>
  <si>
    <t xml:space="preserve">    MOPS </t>
  </si>
  <si>
    <t xml:space="preserve">    ECS Deals (Hubbard)</t>
  </si>
  <si>
    <t xml:space="preserve">    Depreciation </t>
  </si>
  <si>
    <t xml:space="preserve">    Ad Valorem Taxes (.5 Credit for '99, .3 Minnesota Reserve Reversal) </t>
  </si>
  <si>
    <t xml:space="preserve">    Loss on Zavala Sale </t>
  </si>
  <si>
    <t xml:space="preserve">    Kingman Co. Land Sale</t>
  </si>
  <si>
    <t xml:space="preserve">    Reserve C/O in Plan</t>
  </si>
  <si>
    <t xml:space="preserve">    Reserve Building ('2000)</t>
  </si>
  <si>
    <t xml:space="preserve">    Additional Stretch</t>
  </si>
  <si>
    <t xml:space="preserve">    Regulatory Stretch</t>
  </si>
  <si>
    <t xml:space="preserve">    Others, (Net)</t>
  </si>
  <si>
    <t>Subtotal</t>
  </si>
  <si>
    <t xml:space="preserve"> Income Before Interest &amp; Taxes - First Quarter Forecast - March</t>
  </si>
  <si>
    <t xml:space="preserve"> Net Income - Plan</t>
  </si>
  <si>
    <t/>
  </si>
  <si>
    <t xml:space="preserve">   IBIT Adjustments After Income Tax</t>
  </si>
  <si>
    <t xml:space="preserve">   Intercompany Interest (Net)</t>
  </si>
  <si>
    <t xml:space="preserve">   Interest Rate Differential (Net)</t>
  </si>
  <si>
    <t xml:space="preserve">   Current Tax Adjustment</t>
  </si>
  <si>
    <t xml:space="preserve">   Others, net</t>
  </si>
  <si>
    <t xml:space="preserve"> Net Income - First Quarter Forecast - March</t>
  </si>
  <si>
    <t>Enron Transportation &amp; Storage - Marketing</t>
  </si>
  <si>
    <t>First Quarter Forecast</t>
  </si>
  <si>
    <t>Margins</t>
  </si>
  <si>
    <t>Millions of Dollars</t>
  </si>
  <si>
    <t>NORTHERN NATURAL GAS COMPANY</t>
  </si>
  <si>
    <t>Jan</t>
  </si>
  <si>
    <t>Feb</t>
  </si>
  <si>
    <t>March</t>
  </si>
  <si>
    <t>Mid Am capacity Option &amp; East Leg Spreads</t>
  </si>
  <si>
    <t>Price Spreads</t>
  </si>
  <si>
    <t>Noram Seasonal Rate shaping</t>
  </si>
  <si>
    <t>Will be offset in summer</t>
  </si>
  <si>
    <t>New Contracts</t>
  </si>
  <si>
    <t>Firm contract replacing overun -offset in summer</t>
  </si>
  <si>
    <t>UCU CCI no turnback</t>
  </si>
  <si>
    <t>Contract did not terminate</t>
  </si>
  <si>
    <t>MDQ variances</t>
  </si>
  <si>
    <t>Various Omaha</t>
  </si>
  <si>
    <t>Seasonal rate PPA's</t>
  </si>
  <si>
    <t>Terra, MN Corn, US Gypsum (11/99-1/00)</t>
  </si>
  <si>
    <t>South Onshore Demarc Strategy</t>
  </si>
  <si>
    <t>Demarc Strategy (ENA etc.)</t>
  </si>
  <si>
    <t>G/L vs. Acctg Mo difference</t>
  </si>
  <si>
    <t>Subtotal Demand</t>
  </si>
  <si>
    <t>Midwest Commodity</t>
  </si>
  <si>
    <t>Assumes normal weather in Mar</t>
  </si>
  <si>
    <t>Offshore commodity</t>
  </si>
  <si>
    <t>Production decline</t>
  </si>
  <si>
    <t xml:space="preserve">South Onshore Commodity </t>
  </si>
  <si>
    <t>Price variance on TF</t>
  </si>
  <si>
    <t>Subtotal Commodity</t>
  </si>
  <si>
    <t>Storage IDD Timing</t>
  </si>
  <si>
    <t>Timing from second quarter</t>
  </si>
  <si>
    <t>Operational Storage Purchase Options</t>
  </si>
  <si>
    <t>Storage options</t>
  </si>
  <si>
    <t>Subtotal Storage Commodity</t>
  </si>
  <si>
    <t>UCU Deferral</t>
  </si>
  <si>
    <t>Defer UCU Nov-Mar for Oct payment per agmt</t>
  </si>
  <si>
    <t>PAGUS/Wisconsin Gas</t>
  </si>
  <si>
    <t>PAGUS PPA/Wisconsin Gas reserve</t>
  </si>
  <si>
    <t>Structured Products</t>
  </si>
  <si>
    <t>Assumes zero SP</t>
  </si>
  <si>
    <t>PPA</t>
  </si>
  <si>
    <t>Coral MDQ correction</t>
  </si>
  <si>
    <t>DDVC</t>
  </si>
  <si>
    <t>Assumes zero DDVC</t>
  </si>
  <si>
    <t>Total Variance</t>
  </si>
  <si>
    <t>TRANSWESTERN PIPELINE GROUP</t>
  </si>
  <si>
    <t xml:space="preserve">   Margins - See Schedule Page 5 for 1st Qtr. Variance</t>
  </si>
  <si>
    <t xml:space="preserve">   O&amp;M  See Schedule Page 8 for 1st Qtr. Variance.</t>
  </si>
  <si>
    <t xml:space="preserve">   Net Fuel - See Schedule Page 5 for 1st Qtr. Variance</t>
  </si>
  <si>
    <t xml:space="preserve">   UAF Reserve Reversal - See Schedule Page 5.</t>
  </si>
  <si>
    <t xml:space="preserve">   Fuel Imbalance</t>
  </si>
  <si>
    <t xml:space="preserve">   Imbalance Reserve Reversal</t>
  </si>
  <si>
    <t xml:space="preserve">   Depreciation</t>
  </si>
  <si>
    <t xml:space="preserve">   Ad Valorem Tax Credit for 1999</t>
  </si>
  <si>
    <t xml:space="preserve">   Others, (Net)</t>
  </si>
  <si>
    <t>Fuel Prices - 1st Quarter Forecast</t>
  </si>
  <si>
    <t>Hedged Price - Plan (15/Day)</t>
  </si>
  <si>
    <t>Unhedged Avg Price - Plan</t>
  </si>
  <si>
    <t>Average Fuel Rate - 1st Qtr Forecast</t>
  </si>
  <si>
    <t xml:space="preserve">   Other, (Net)</t>
  </si>
  <si>
    <t xml:space="preserve">TRANSWESTERN PIPELINE COMPANY </t>
  </si>
  <si>
    <t>Error in plan</t>
  </si>
  <si>
    <t>Duplication (Bayless ctrc)</t>
  </si>
  <si>
    <t>Unsubscribed</t>
  </si>
  <si>
    <t>(9,000/d EOT-WOT &amp; 25,000/d SLaPl-Bl)</t>
  </si>
  <si>
    <t>Interim resubscription</t>
  </si>
  <si>
    <t>Ctrc exp end of Jan - short-term rate $.05 vs. $12 (49,475/d EOT-WOT)</t>
  </si>
  <si>
    <t>El Paso Field Services</t>
  </si>
  <si>
    <t>Interconnect delayed on EPFS side</t>
  </si>
  <si>
    <t>Southwest Gas</t>
  </si>
  <si>
    <t>Pending FERC approval on SWGas side</t>
  </si>
  <si>
    <t>Enhanced Firm Backhaul</t>
  </si>
  <si>
    <t>Pending FERC approval</t>
  </si>
  <si>
    <t>Market Center Service</t>
  </si>
  <si>
    <t>Ctrc exp end of Feb - short-term rate $.06 vs. $.10 (15,000/d BL-TH)</t>
  </si>
  <si>
    <t>Subscribed at higher rates and volumes</t>
  </si>
  <si>
    <t>Limited Term Firm,Texaco, Southern</t>
  </si>
  <si>
    <t>30-day deals and Daily FT</t>
  </si>
  <si>
    <t>Lower Volumes EOT to WOT</t>
  </si>
  <si>
    <t>Lower throughput from East of Thoreau to West of Thoreau</t>
  </si>
  <si>
    <t>Retroactive Billing Adj.</t>
  </si>
  <si>
    <t>TOTAL MARGIN</t>
  </si>
  <si>
    <t xml:space="preserve">Fuel  Price Variance </t>
  </si>
  <si>
    <t>January variance due to UAF reserve reversal of .244 and UAF lower than plan by .150</t>
  </si>
  <si>
    <t>Fuel Volume Variance</t>
  </si>
  <si>
    <t>Hedging Adjustment</t>
  </si>
  <si>
    <t>TOTAL FUEL</t>
  </si>
  <si>
    <t>Total Transwestern</t>
  </si>
  <si>
    <t>2000 O &amp; M EXPENSE (000'S) - NET - 1st QUARTER</t>
  </si>
  <si>
    <t>1999 Actuals</t>
  </si>
  <si>
    <t>Prior Forecast</t>
  </si>
  <si>
    <t>Forecast</t>
  </si>
  <si>
    <t>Plan</t>
  </si>
  <si>
    <t>Var.from Plan</t>
  </si>
  <si>
    <t>Description</t>
  </si>
  <si>
    <t>Direct Costs</t>
  </si>
  <si>
    <t>Executive</t>
  </si>
  <si>
    <t>Finance &amp; Accounting</t>
  </si>
  <si>
    <t>Savings distribution</t>
  </si>
  <si>
    <t>Systems</t>
  </si>
  <si>
    <t>Transportation Marketing</t>
  </si>
  <si>
    <t>Savings distribution; $100 Keyex prepmt</t>
  </si>
  <si>
    <t>Business Services</t>
  </si>
  <si>
    <t>Market Services</t>
  </si>
  <si>
    <t>Regulatory Affairs &amp; Administration</t>
  </si>
  <si>
    <t>TW Commercial Group</t>
  </si>
  <si>
    <t>Operations</t>
  </si>
  <si>
    <t>DOT fees reversal $1,226M;  Timing</t>
  </si>
  <si>
    <t>General &amp; Administrative</t>
  </si>
  <si>
    <t>$(200) reduction of Fuji lease offset in  Corp. overview</t>
  </si>
  <si>
    <t>Stretch</t>
  </si>
  <si>
    <t>Total Direct Costs</t>
  </si>
  <si>
    <t>GPG Allocations</t>
  </si>
  <si>
    <t>Legal  (Co.  508)</t>
  </si>
  <si>
    <t>OH reclass, Grynberg $(200)</t>
  </si>
  <si>
    <t>Finance &amp; Accounting  (Co. 422)</t>
  </si>
  <si>
    <t>OH reclass</t>
  </si>
  <si>
    <t>Operations Technical Services  (Co. 423)</t>
  </si>
  <si>
    <t>Human Resources  (Co. 507)</t>
  </si>
  <si>
    <t>To payroll taxes $(30), OH reclass</t>
  </si>
  <si>
    <t xml:space="preserve">Executive  </t>
  </si>
  <si>
    <t>Aviation true-up $(35), OH reclass $439, Ad Val Taxes reclass $101, OH rev $201</t>
  </si>
  <si>
    <t>Other</t>
  </si>
  <si>
    <t>Total GPG Allocations</t>
  </si>
  <si>
    <t>Corporate Allocations</t>
  </si>
  <si>
    <t>MMF</t>
  </si>
  <si>
    <t>ECM</t>
  </si>
  <si>
    <t>Offset in Corp overview</t>
  </si>
  <si>
    <t>Insurance</t>
  </si>
  <si>
    <t>Direct - EMI Co 001</t>
  </si>
  <si>
    <t>Direct - Corp Co 011</t>
  </si>
  <si>
    <t>Ad Valorem reclass  $(101)</t>
  </si>
  <si>
    <t>Aviation</t>
  </si>
  <si>
    <t>EIS</t>
  </si>
  <si>
    <t>$(270) reserve reversal, savings $(200) offset in corp. overview</t>
  </si>
  <si>
    <t>EPSC - Co 901</t>
  </si>
  <si>
    <t>Reclass to capital $(48)</t>
  </si>
  <si>
    <t>EDS Delta</t>
  </si>
  <si>
    <t>Capitalization deferred to 1st Qtr</t>
  </si>
  <si>
    <t>Total Corporate Allocations</t>
  </si>
  <si>
    <t>Total O&amp;M Expense</t>
  </si>
  <si>
    <t>2000 O &amp; M EXPENSE (000'S) - NET - 1ST QUARTER</t>
  </si>
  <si>
    <t>Var. from Plan</t>
  </si>
  <si>
    <t>DOT fees reversal $1,072M, Timing</t>
  </si>
  <si>
    <t>Payroll taxes allocation, OH reclass</t>
  </si>
  <si>
    <t>Aviation True-up $(35), OH reclass $310, Ad Val.Tax reclass $72;  rev. OH $144</t>
  </si>
  <si>
    <t xml:space="preserve">     </t>
  </si>
  <si>
    <t>savings, offset in corp. overview</t>
  </si>
  <si>
    <t xml:space="preserve">Ad Valorem Tax reclass $(72); </t>
  </si>
  <si>
    <t>$(270) reversal,  $(200) offset in corp. overview</t>
  </si>
  <si>
    <t>Reclass to cap $(43)</t>
  </si>
  <si>
    <t>Capitaliztion deferred to 1st  Qtr</t>
  </si>
  <si>
    <t>TRANSWESTERN PIPELINE COMPANY</t>
  </si>
  <si>
    <t>DOT fees reserve reversal, $153M, Timing</t>
  </si>
  <si>
    <t>$(200) Fuji lease reduction offset in corp. overview</t>
  </si>
  <si>
    <t>OH reclass, $(200) Grynberg reversal</t>
  </si>
  <si>
    <t>OH reclass, Ad Valorem Tax reclass $30; rev. OH $57</t>
  </si>
  <si>
    <t>Ad Valorem  reclass $(30)</t>
  </si>
  <si>
    <t>UPSIDE / DOWNSIDE LIST</t>
  </si>
  <si>
    <t>Favorable / (Unfavorable)</t>
  </si>
  <si>
    <t>Net</t>
  </si>
  <si>
    <t>Funds</t>
  </si>
  <si>
    <t>QTR</t>
  </si>
  <si>
    <t>IBIT</t>
  </si>
  <si>
    <t>Income</t>
  </si>
  <si>
    <t>Flow</t>
  </si>
  <si>
    <t>Obligations</t>
  </si>
  <si>
    <t>Northern Natural Gas Company</t>
  </si>
  <si>
    <t>Margins - (Timing)</t>
  </si>
  <si>
    <t>2nd &amp; 3rd</t>
  </si>
  <si>
    <t>KN/GPM Contract Indemnification Claim</t>
  </si>
  <si>
    <t>?</t>
  </si>
  <si>
    <t>O&amp;M</t>
  </si>
  <si>
    <t>Depreciation</t>
  </si>
  <si>
    <t>Remove Trailblazer 1/3 Ownership Purchase</t>
  </si>
  <si>
    <t>1st</t>
  </si>
  <si>
    <t>Incl.</t>
  </si>
  <si>
    <t>31.0</t>
  </si>
  <si>
    <t>Other Items, Net</t>
  </si>
  <si>
    <t>Full Yr.</t>
  </si>
  <si>
    <t>-</t>
  </si>
  <si>
    <t>4.8</t>
  </si>
  <si>
    <t>(7.4)</t>
  </si>
  <si>
    <t>Overthrust Sale</t>
  </si>
  <si>
    <t>3.2</t>
  </si>
  <si>
    <t>Transwestern Pipeline Company</t>
  </si>
  <si>
    <t xml:space="preserve">Margins </t>
  </si>
  <si>
    <t>Y2K Costs</t>
  </si>
  <si>
    <t>(5.1)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</si>
</sst>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7" formatCode="0.0_);\(0.0\)"/>
    <numFmt numFmtId="168" formatCode="#,##0.0_);\(#,##0.0\)"/>
    <numFmt numFmtId="172" formatCode="mmmm\ d\,\ yyyy"/>
    <numFmt numFmtId="173" formatCode="_(&quot;$&quot;* #,##0.0_);_(&quot;$&quot;* \(#,##0.0\);_(&quot;$&quot;* &quot;-&quot;??_);_(@_)"/>
    <numFmt numFmtId="198" formatCode="#,##0.000_);\(#,##0.000\)"/>
    <numFmt numFmtId="219" formatCode="General_)"/>
    <numFmt numFmtId="247" formatCode="&quot;$&quot;#,##0.000_);\(&quot;$&quot;#,##0.000\)"/>
  </numFmts>
  <fonts count="39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0"/>
      <name val="Helv"/>
    </font>
    <font>
      <sz val="12"/>
      <name val="Arial MT"/>
    </font>
    <font>
      <sz val="11"/>
      <name val="Arial"/>
    </font>
    <font>
      <sz val="8"/>
      <name val="Arial"/>
    </font>
    <font>
      <sz val="10"/>
      <color indexed="8"/>
      <name val="MS Sans Serif"/>
    </font>
    <font>
      <sz val="12"/>
      <name val="Helv"/>
    </font>
    <font>
      <sz val="12"/>
      <name val="SWISS"/>
    </font>
    <font>
      <sz val="10"/>
      <name val="Courier"/>
    </font>
    <font>
      <sz val="8"/>
      <name val="Arial"/>
      <family val="2"/>
    </font>
    <font>
      <sz val="10"/>
      <name val="Times New Roman"/>
      <family val="1"/>
    </font>
    <font>
      <b/>
      <sz val="28"/>
      <name val="Times New Roman"/>
      <family val="1"/>
    </font>
    <font>
      <sz val="14"/>
      <name val="Times New Roman"/>
      <family val="1"/>
    </font>
    <font>
      <b/>
      <sz val="22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  <font>
      <b/>
      <sz val="12"/>
      <name val="Arial"/>
    </font>
    <font>
      <b/>
      <u/>
      <sz val="12"/>
      <name val="Arial"/>
      <family val="2"/>
    </font>
    <font>
      <sz val="9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8">
    <xf numFmtId="0" fontId="0" fillId="0" borderId="0" xfId="0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8" fillId="0" borderId="0" xfId="0" applyFont="1"/>
    <xf numFmtId="15" fontId="15" fillId="0" borderId="0" xfId="0" applyNumberFormat="1" applyFont="1"/>
    <xf numFmtId="172" fontId="19" fillId="0" borderId="0" xfId="0" quotePrefix="1" applyNumberFormat="1" applyFont="1"/>
    <xf numFmtId="0" fontId="20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1" fillId="0" borderId="0" xfId="0" applyFont="1"/>
    <xf numFmtId="0" fontId="23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3" xfId="0" quotePrefix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67" fontId="25" fillId="0" borderId="4" xfId="0" applyNumberFormat="1" applyFont="1" applyBorder="1" applyAlignment="1">
      <alignment horizontal="right" vertical="center"/>
    </xf>
    <xf numFmtId="167" fontId="23" fillId="0" borderId="4" xfId="0" applyNumberFormat="1" applyFont="1" applyBorder="1" applyAlignment="1">
      <alignment horizontal="right" vertical="center"/>
    </xf>
    <xf numFmtId="167" fontId="23" fillId="0" borderId="5" xfId="0" applyNumberFormat="1" applyFont="1" applyBorder="1" applyAlignment="1">
      <alignment horizontal="right" vertical="center"/>
    </xf>
    <xf numFmtId="167" fontId="26" fillId="0" borderId="0" xfId="0" applyNumberFormat="1" applyFont="1"/>
    <xf numFmtId="167" fontId="24" fillId="0" borderId="0" xfId="0" applyNumberFormat="1" applyFont="1"/>
    <xf numFmtId="167" fontId="26" fillId="0" borderId="0" xfId="1" applyNumberFormat="1" applyFont="1"/>
    <xf numFmtId="167" fontId="24" fillId="0" borderId="0" xfId="1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167" fontId="24" fillId="0" borderId="0" xfId="0" applyNumberFormat="1" applyFont="1" applyBorder="1" applyAlignment="1">
      <alignment vertical="center"/>
    </xf>
    <xf numFmtId="167" fontId="26" fillId="0" borderId="2" xfId="1" applyNumberFormat="1" applyFont="1" applyBorder="1"/>
    <xf numFmtId="167" fontId="24" fillId="0" borderId="2" xfId="0" applyNumberFormat="1" applyFont="1" applyBorder="1"/>
    <xf numFmtId="167" fontId="24" fillId="0" borderId="0" xfId="0" applyNumberFormat="1" applyFont="1" applyBorder="1"/>
    <xf numFmtId="0" fontId="1" fillId="0" borderId="4" xfId="0" applyFont="1" applyBorder="1"/>
    <xf numFmtId="167" fontId="23" fillId="0" borderId="4" xfId="0" applyNumberFormat="1" applyFont="1" applyBorder="1" applyAlignment="1">
      <alignment vertical="center"/>
    </xf>
    <xf numFmtId="167" fontId="23" fillId="0" borderId="5" xfId="0" applyNumberFormat="1" applyFont="1" applyBorder="1" applyAlignment="1">
      <alignment vertical="center"/>
    </xf>
    <xf numFmtId="0" fontId="23" fillId="0" borderId="0" xfId="0" quotePrefix="1" applyFont="1" applyBorder="1" applyAlignment="1">
      <alignment horizontal="left"/>
    </xf>
    <xf numFmtId="167" fontId="23" fillId="0" borderId="0" xfId="0" applyNumberFormat="1" applyFont="1" applyBorder="1" applyAlignment="1">
      <alignment vertical="center"/>
    </xf>
    <xf numFmtId="167" fontId="23" fillId="0" borderId="4" xfId="0" applyNumberFormat="1" applyFont="1" applyBorder="1" applyAlignment="1"/>
    <xf numFmtId="0" fontId="0" fillId="0" borderId="0" xfId="0" quotePrefix="1"/>
    <xf numFmtId="167" fontId="26" fillId="0" borderId="0" xfId="0" applyNumberFormat="1" applyFont="1" applyBorder="1"/>
    <xf numFmtId="0" fontId="0" fillId="0" borderId="0" xfId="0" applyBorder="1"/>
    <xf numFmtId="0" fontId="0" fillId="0" borderId="4" xfId="0" applyBorder="1"/>
    <xf numFmtId="167" fontId="24" fillId="0" borderId="4" xfId="0" applyNumberFormat="1" applyFont="1" applyBorder="1" applyAlignment="1">
      <alignment vertical="center"/>
    </xf>
    <xf numFmtId="0" fontId="23" fillId="0" borderId="0" xfId="0" quotePrefix="1" applyFont="1" applyAlignment="1">
      <alignment horizontal="left"/>
    </xf>
    <xf numFmtId="167" fontId="23" fillId="0" borderId="0" xfId="0" applyNumberFormat="1" applyFont="1" applyBorder="1"/>
    <xf numFmtId="167" fontId="0" fillId="0" borderId="0" xfId="0" applyNumberFormat="1"/>
    <xf numFmtId="0" fontId="27" fillId="0" borderId="0" xfId="0" applyFont="1"/>
    <xf numFmtId="0" fontId="20" fillId="0" borderId="0" xfId="0" applyFont="1"/>
    <xf numFmtId="0" fontId="0" fillId="0" borderId="0" xfId="0" applyBorder="1" applyAlignment="1">
      <alignment horizontal="center"/>
    </xf>
    <xf numFmtId="0" fontId="28" fillId="0" borderId="0" xfId="0" applyFont="1" applyBorder="1"/>
    <xf numFmtId="164" fontId="2" fillId="0" borderId="0" xfId="1" applyNumberFormat="1" applyBorder="1"/>
    <xf numFmtId="173" fontId="2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0" xfId="1" applyNumberFormat="1" applyFont="1" applyBorder="1"/>
    <xf numFmtId="164" fontId="2" fillId="0" borderId="2" xfId="1" applyNumberFormat="1" applyBorder="1"/>
    <xf numFmtId="0" fontId="29" fillId="0" borderId="0" xfId="0" applyFont="1" applyBorder="1"/>
    <xf numFmtId="164" fontId="29" fillId="0" borderId="0" xfId="1" applyNumberFormat="1" applyFont="1" applyBorder="1"/>
    <xf numFmtId="0" fontId="29" fillId="0" borderId="0" xfId="0" applyFont="1"/>
    <xf numFmtId="164" fontId="2" fillId="0" borderId="6" xfId="1" applyNumberFormat="1" applyBorder="1"/>
    <xf numFmtId="173" fontId="2" fillId="0" borderId="0" xfId="2" applyNumberFormat="1" applyFont="1" applyBorder="1"/>
    <xf numFmtId="44" fontId="29" fillId="0" borderId="0" xfId="2" applyNumberFormat="1" applyFont="1" applyBorder="1"/>
    <xf numFmtId="44" fontId="2" fillId="0" borderId="0" xfId="2" applyNumberFormat="1" applyBorder="1"/>
    <xf numFmtId="44" fontId="0" fillId="0" borderId="0" xfId="0" applyNumberFormat="1" applyBorder="1"/>
    <xf numFmtId="44" fontId="2" fillId="0" borderId="0" xfId="1" applyNumberFormat="1" applyBorder="1"/>
    <xf numFmtId="44" fontId="29" fillId="0" borderId="0" xfId="1" applyNumberFormat="1" applyFont="1" applyBorder="1"/>
    <xf numFmtId="173" fontId="0" fillId="0" borderId="0" xfId="0" applyNumberFormat="1" applyBorder="1"/>
    <xf numFmtId="173" fontId="2" fillId="0" borderId="0" xfId="1" applyNumberFormat="1" applyBorder="1"/>
    <xf numFmtId="164" fontId="28" fillId="0" borderId="0" xfId="0" applyNumberFormat="1" applyFont="1" applyBorder="1"/>
    <xf numFmtId="168" fontId="25" fillId="0" borderId="4" xfId="0" applyNumberFormat="1" applyFont="1" applyBorder="1" applyAlignment="1">
      <alignment horizontal="right" vertical="center"/>
    </xf>
    <xf numFmtId="168" fontId="23" fillId="0" borderId="4" xfId="0" applyNumberFormat="1" applyFont="1" applyBorder="1" applyAlignment="1">
      <alignment horizontal="right" vertical="center"/>
    </xf>
    <xf numFmtId="168" fontId="23" fillId="0" borderId="5" xfId="0" applyNumberFormat="1" applyFont="1" applyBorder="1" applyAlignment="1">
      <alignment horizontal="right" vertical="center"/>
    </xf>
    <xf numFmtId="168" fontId="30" fillId="0" borderId="0" xfId="0" applyNumberFormat="1" applyFont="1"/>
    <xf numFmtId="168" fontId="0" fillId="0" borderId="0" xfId="0" applyNumberFormat="1"/>
    <xf numFmtId="164" fontId="30" fillId="0" borderId="0" xfId="1" applyNumberFormat="1" applyFont="1"/>
    <xf numFmtId="164" fontId="2" fillId="0" borderId="0" xfId="1" applyNumberFormat="1"/>
    <xf numFmtId="167" fontId="30" fillId="0" borderId="0" xfId="1" applyNumberFormat="1" applyFont="1"/>
    <xf numFmtId="164" fontId="30" fillId="0" borderId="2" xfId="1" applyNumberFormat="1" applyFont="1" applyBorder="1"/>
    <xf numFmtId="168" fontId="0" fillId="0" borderId="2" xfId="0" applyNumberFormat="1" applyBorder="1"/>
    <xf numFmtId="168" fontId="0" fillId="0" borderId="0" xfId="0" applyNumberFormat="1" applyBorder="1"/>
    <xf numFmtId="168" fontId="23" fillId="0" borderId="4" xfId="0" applyNumberFormat="1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0" fontId="28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7" fontId="0" fillId="0" borderId="10" xfId="0" applyNumberFormat="1" applyBorder="1"/>
    <xf numFmtId="0" fontId="0" fillId="0" borderId="11" xfId="0" applyBorder="1"/>
    <xf numFmtId="0" fontId="0" fillId="0" borderId="12" xfId="0" applyBorder="1"/>
    <xf numFmtId="7" fontId="0" fillId="0" borderId="0" xfId="0" applyNumberFormat="1" applyBorder="1"/>
    <xf numFmtId="0" fontId="0" fillId="0" borderId="13" xfId="0" applyBorder="1"/>
    <xf numFmtId="0" fontId="0" fillId="0" borderId="12" xfId="0" quotePrefix="1" applyBorder="1" applyAlignment="1">
      <alignment horizontal="left"/>
    </xf>
    <xf numFmtId="247" fontId="0" fillId="0" borderId="0" xfId="0" applyNumberFormat="1" applyBorder="1"/>
    <xf numFmtId="247" fontId="0" fillId="0" borderId="13" xfId="0" applyNumberFormat="1" applyBorder="1"/>
    <xf numFmtId="0" fontId="0" fillId="0" borderId="14" xfId="0" quotePrefix="1" applyBorder="1" applyAlignment="1">
      <alignment horizontal="left"/>
    </xf>
    <xf numFmtId="0" fontId="0" fillId="0" borderId="2" xfId="0" applyBorder="1"/>
    <xf numFmtId="247" fontId="0" fillId="0" borderId="2" xfId="0" applyNumberFormat="1" applyBorder="1"/>
    <xf numFmtId="247" fontId="0" fillId="0" borderId="15" xfId="0" applyNumberFormat="1" applyBorder="1"/>
    <xf numFmtId="168" fontId="29" fillId="0" borderId="0" xfId="0" applyNumberFormat="1" applyFont="1" applyBorder="1"/>
    <xf numFmtId="168" fontId="30" fillId="0" borderId="0" xfId="0" applyNumberFormat="1" applyFont="1" applyBorder="1"/>
    <xf numFmtId="168" fontId="29" fillId="0" borderId="0" xfId="0" applyNumberFormat="1" applyFon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24" fillId="0" borderId="0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9" fillId="0" borderId="2" xfId="0" applyNumberFormat="1" applyFont="1" applyBorder="1" applyAlignment="1">
      <alignment vertical="center"/>
    </xf>
    <xf numFmtId="168" fontId="23" fillId="0" borderId="0" xfId="0" applyNumberFormat="1" applyFont="1" applyBorder="1"/>
    <xf numFmtId="168" fontId="0" fillId="0" borderId="4" xfId="0" applyNumberFormat="1" applyBorder="1" applyAlignment="1">
      <alignment vertical="center"/>
    </xf>
    <xf numFmtId="247" fontId="0" fillId="0" borderId="0" xfId="0" applyNumberFormat="1"/>
    <xf numFmtId="198" fontId="0" fillId="0" borderId="0" xfId="0" applyNumberFormat="1"/>
    <xf numFmtId="0" fontId="28" fillId="0" borderId="0" xfId="0" applyFont="1" applyAlignment="1">
      <alignment horizontal="center"/>
    </xf>
    <xf numFmtId="173" fontId="2" fillId="0" borderId="2" xfId="2" applyNumberFormat="1" applyFont="1" applyBorder="1"/>
    <xf numFmtId="0" fontId="28" fillId="0" borderId="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4" fontId="2" fillId="0" borderId="0" xfId="2" applyNumberFormat="1"/>
    <xf numFmtId="44" fontId="0" fillId="0" borderId="0" xfId="0" applyNumberFormat="1"/>
    <xf numFmtId="44" fontId="2" fillId="0" borderId="0" xfId="1" applyNumberFormat="1"/>
    <xf numFmtId="49" fontId="0" fillId="0" borderId="0" xfId="0" applyNumberFormat="1"/>
    <xf numFmtId="44" fontId="2" fillId="0" borderId="0" xfId="1" applyNumberFormat="1" applyFont="1" applyBorder="1"/>
    <xf numFmtId="44" fontId="2" fillId="0" borderId="2" xfId="1" applyNumberFormat="1" applyBorder="1"/>
    <xf numFmtId="44" fontId="0" fillId="0" borderId="2" xfId="0" applyNumberFormat="1" applyBorder="1"/>
    <xf numFmtId="173" fontId="0" fillId="0" borderId="0" xfId="0" applyNumberFormat="1"/>
    <xf numFmtId="0" fontId="31" fillId="0" borderId="0" xfId="0" applyFont="1"/>
    <xf numFmtId="0" fontId="20" fillId="0" borderId="0" xfId="0" quotePrefix="1" applyFont="1" applyAlignment="1">
      <alignment horizontal="left"/>
    </xf>
    <xf numFmtId="0" fontId="28" fillId="0" borderId="2" xfId="0" applyFont="1" applyBorder="1"/>
    <xf numFmtId="0" fontId="28" fillId="0" borderId="0" xfId="0" applyFont="1"/>
    <xf numFmtId="37" fontId="29" fillId="0" borderId="0" xfId="0" applyNumberFormat="1" applyFont="1"/>
    <xf numFmtId="0" fontId="29" fillId="0" borderId="0" xfId="0" quotePrefix="1" applyFont="1" applyAlignment="1">
      <alignment horizontal="left"/>
    </xf>
    <xf numFmtId="37" fontId="32" fillId="0" borderId="0" xfId="0" applyNumberFormat="1" applyFont="1"/>
    <xf numFmtId="0" fontId="29" fillId="0" borderId="0" xfId="0" applyFont="1" applyAlignment="1">
      <alignment horizontal="left"/>
    </xf>
    <xf numFmtId="37" fontId="33" fillId="0" borderId="0" xfId="0" applyNumberFormat="1" applyFont="1"/>
    <xf numFmtId="37" fontId="28" fillId="0" borderId="0" xfId="0" applyNumberFormat="1" applyFont="1" applyAlignment="1">
      <alignment horizontal="right"/>
    </xf>
    <xf numFmtId="37" fontId="28" fillId="0" borderId="0" xfId="0" applyNumberFormat="1" applyFont="1"/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37" fontId="34" fillId="0" borderId="0" xfId="0" applyNumberFormat="1" applyFont="1"/>
    <xf numFmtId="37" fontId="29" fillId="0" borderId="0" xfId="0" applyNumberFormat="1" applyFont="1" applyAlignment="1">
      <alignment horizontal="right"/>
    </xf>
    <xf numFmtId="0" fontId="28" fillId="0" borderId="0" xfId="0" quotePrefix="1" applyFont="1" applyAlignment="1">
      <alignment horizontal="centerContinuous"/>
    </xf>
    <xf numFmtId="0" fontId="28" fillId="0" borderId="0" xfId="0" applyFont="1" applyAlignment="1">
      <alignment horizontal="centerContinuous"/>
    </xf>
    <xf numFmtId="37" fontId="28" fillId="0" borderId="16" xfId="0" applyNumberFormat="1" applyFont="1" applyBorder="1" applyAlignment="1">
      <alignment horizontal="right"/>
    </xf>
    <xf numFmtId="37" fontId="28" fillId="0" borderId="0" xfId="0" applyNumberFormat="1" applyFont="1" applyBorder="1" applyAlignment="1">
      <alignment horizontal="right"/>
    </xf>
    <xf numFmtId="0" fontId="12" fillId="0" borderId="0" xfId="0" applyFont="1"/>
    <xf numFmtId="22" fontId="12" fillId="0" borderId="0" xfId="0" applyNumberFormat="1" applyFont="1"/>
    <xf numFmtId="0" fontId="28" fillId="0" borderId="2" xfId="0" quotePrefix="1" applyFont="1" applyBorder="1" applyAlignment="1">
      <alignment horizontal="center"/>
    </xf>
    <xf numFmtId="37" fontId="33" fillId="0" borderId="0" xfId="0" applyNumberFormat="1" applyFont="1" applyBorder="1"/>
    <xf numFmtId="37" fontId="34" fillId="0" borderId="0" xfId="0" applyNumberFormat="1" applyFont="1" applyBorder="1"/>
    <xf numFmtId="22" fontId="29" fillId="0" borderId="0" xfId="0" applyNumberFormat="1" applyFont="1"/>
    <xf numFmtId="0" fontId="35" fillId="0" borderId="0" xfId="0" applyFont="1" applyAlignment="1">
      <alignment horizontal="centerContinuous"/>
    </xf>
    <xf numFmtId="0" fontId="35" fillId="0" borderId="0" xfId="0" quotePrefix="1" applyFont="1" applyAlignment="1">
      <alignment horizontal="centerContinuous"/>
    </xf>
    <xf numFmtId="0" fontId="35" fillId="0" borderId="0" xfId="0" applyFont="1" applyAlignment="1"/>
    <xf numFmtId="0" fontId="35" fillId="0" borderId="2" xfId="0" applyFont="1" applyBorder="1" applyAlignment="1">
      <alignment horizontal="centerContinuous"/>
    </xf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0" xfId="0" quotePrefix="1" applyFont="1" applyAlignment="1">
      <alignment horizontal="left"/>
    </xf>
    <xf numFmtId="0" fontId="21" fillId="0" borderId="0" xfId="0" applyFont="1" applyAlignment="1"/>
    <xf numFmtId="0" fontId="21" fillId="0" borderId="0" xfId="0" quotePrefix="1" applyFont="1" applyAlignment="1">
      <alignment horizontal="left"/>
    </xf>
    <xf numFmtId="0" fontId="21" fillId="0" borderId="0" xfId="0" quotePrefix="1" applyFont="1" applyAlignment="1">
      <alignment horizontal="center"/>
    </xf>
    <xf numFmtId="167" fontId="21" fillId="0" borderId="0" xfId="1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67" fontId="21" fillId="0" borderId="0" xfId="0" applyNumberFormat="1" applyFont="1"/>
    <xf numFmtId="0" fontId="21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49" fontId="21" fillId="0" borderId="0" xfId="1" applyNumberFormat="1" applyFont="1" applyAlignment="1">
      <alignment horizontal="center"/>
    </xf>
    <xf numFmtId="0" fontId="21" fillId="0" borderId="0" xfId="0" applyFont="1" applyAlignment="1">
      <alignment horizontal="center"/>
    </xf>
    <xf numFmtId="168" fontId="21" fillId="0" borderId="0" xfId="1" applyNumberFormat="1" applyFont="1" applyAlignment="1">
      <alignment horizontal="center"/>
    </xf>
    <xf numFmtId="168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4" fontId="21" fillId="0" borderId="0" xfId="1" applyNumberFormat="1" applyFont="1" applyAlignment="1">
      <alignment horizontal="center"/>
    </xf>
    <xf numFmtId="167" fontId="21" fillId="0" borderId="0" xfId="0" applyNumberFormat="1" applyFont="1" applyAlignment="1"/>
    <xf numFmtId="49" fontId="21" fillId="0" borderId="0" xfId="1" quotePrefix="1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8" fontId="27" fillId="0" borderId="0" xfId="0" applyNumberFormat="1" applyFont="1" applyAlignment="1"/>
    <xf numFmtId="0" fontId="27" fillId="0" borderId="0" xfId="0" applyFont="1" applyAlignment="1"/>
    <xf numFmtId="15" fontId="27" fillId="0" borderId="0" xfId="0" applyNumberFormat="1" applyFont="1" applyAlignment="1"/>
    <xf numFmtId="0" fontId="38" fillId="0" borderId="0" xfId="0" applyFont="1"/>
    <xf numFmtId="0" fontId="28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ce/3rdce/GPGSCHE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Anal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ETS00O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Plan/ETS00O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1999/ETS99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2000/Prior%20Fcst/ETS00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-Plan Var."/>
      <sheetName val="TW-Plan Var."/>
      <sheetName val="NNG-1998 Var."/>
      <sheetName val="TW-1998 Var."/>
      <sheetName val="updown"/>
      <sheetName val="Reserves-NNG"/>
      <sheetName val="NNG-CF Var."/>
      <sheetName val="TW-CF Va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NNG"/>
      <sheetName val="1QTW"/>
      <sheetName val="ET&amp;S"/>
      <sheetName val="1CENNG"/>
      <sheetName val="1CETW"/>
      <sheetName val="1CEET&amp;S"/>
    </sheetNames>
    <sheetDataSet>
      <sheetData sheetId="0">
        <row r="8">
          <cell r="C8">
            <v>80.625</v>
          </cell>
          <cell r="E8">
            <v>67.265333333333331</v>
          </cell>
          <cell r="G8">
            <v>67.405666666666662</v>
          </cell>
          <cell r="I8">
            <v>67.323333333333338</v>
          </cell>
          <cell r="K8">
            <v>8.2333333333323822E-2</v>
          </cell>
        </row>
        <row r="9">
          <cell r="C9">
            <v>364</v>
          </cell>
          <cell r="E9">
            <v>351.05700000000002</v>
          </cell>
          <cell r="G9">
            <v>350.47199999999998</v>
          </cell>
          <cell r="I9">
            <v>388.63</v>
          </cell>
          <cell r="K9">
            <v>-38.158000000000015</v>
          </cell>
        </row>
        <row r="10">
          <cell r="C10">
            <v>1807.9580000000001</v>
          </cell>
          <cell r="E10">
            <v>1378.8789999999999</v>
          </cell>
          <cell r="G10">
            <v>1379.1610000000001</v>
          </cell>
          <cell r="I10">
            <v>1528.875</v>
          </cell>
          <cell r="K10">
            <v>-149.71399999999994</v>
          </cell>
        </row>
        <row r="11">
          <cell r="C11">
            <v>1462</v>
          </cell>
          <cell r="E11">
            <v>2250.6743333333334</v>
          </cell>
          <cell r="G11">
            <v>2250.7936666666665</v>
          </cell>
          <cell r="I11">
            <v>2524.6999999999998</v>
          </cell>
          <cell r="K11">
            <v>-273.90633333333335</v>
          </cell>
        </row>
        <row r="12">
          <cell r="C12">
            <v>848</v>
          </cell>
          <cell r="E12">
            <v>1030.1320000000001</v>
          </cell>
          <cell r="G12">
            <v>1029.771</v>
          </cell>
          <cell r="I12">
            <v>1072.652</v>
          </cell>
          <cell r="K12">
            <v>-42.881000000000085</v>
          </cell>
        </row>
        <row r="13">
          <cell r="C13">
            <v>1313.6079999999999</v>
          </cell>
          <cell r="E13">
            <v>1306.7336666666665</v>
          </cell>
          <cell r="G13">
            <v>1306.3233333333333</v>
          </cell>
          <cell r="I13">
            <v>1306.75</v>
          </cell>
          <cell r="K13">
            <v>-0.42666666666673336</v>
          </cell>
        </row>
        <row r="14">
          <cell r="C14">
            <v>308</v>
          </cell>
          <cell r="E14">
            <v>316.56900000000002</v>
          </cell>
          <cell r="G14">
            <v>316.59100000000001</v>
          </cell>
          <cell r="I14">
            <v>348.38499999999999</v>
          </cell>
          <cell r="K14">
            <v>-31.793999999999983</v>
          </cell>
        </row>
        <row r="15">
          <cell r="C15">
            <v>147</v>
          </cell>
          <cell r="E15">
            <v>17.737333333333332</v>
          </cell>
          <cell r="G15">
            <v>18.269666666666666</v>
          </cell>
          <cell r="I15">
            <v>20</v>
          </cell>
          <cell r="K15">
            <v>-1.7303333333333342</v>
          </cell>
        </row>
        <row r="16">
          <cell r="C16">
            <v>18823.932000000001</v>
          </cell>
          <cell r="E16">
            <v>20958.584999999999</v>
          </cell>
          <cell r="G16">
            <v>17998.508999999998</v>
          </cell>
          <cell r="I16">
            <v>21990.7</v>
          </cell>
          <cell r="K16">
            <v>-3992.1910000000025</v>
          </cell>
        </row>
        <row r="17">
          <cell r="C17">
            <v>1205.614</v>
          </cell>
          <cell r="E17">
            <v>1012.8340000000001</v>
          </cell>
          <cell r="G17">
            <v>1020.1353333333333</v>
          </cell>
          <cell r="I17">
            <v>1015.854</v>
          </cell>
          <cell r="K17">
            <v>4.2813333333332366</v>
          </cell>
        </row>
        <row r="18">
          <cell r="C18">
            <v>175.33333333333334</v>
          </cell>
          <cell r="E18">
            <v>-61.899999999999977</v>
          </cell>
          <cell r="G18">
            <v>-61.899999999999977</v>
          </cell>
          <cell r="I18">
            <v>-500</v>
          </cell>
          <cell r="K18">
            <v>438.1</v>
          </cell>
        </row>
        <row r="19">
          <cell r="E19">
            <v>28628.566666666662</v>
          </cell>
        </row>
        <row r="22">
          <cell r="C22">
            <v>618.82000000000005</v>
          </cell>
          <cell r="E22">
            <v>321.98166666666663</v>
          </cell>
          <cell r="G22">
            <v>522.16008333333332</v>
          </cell>
          <cell r="I22">
            <v>628.96524999999997</v>
          </cell>
          <cell r="K22">
            <v>-106.80516666666665</v>
          </cell>
        </row>
        <row r="23">
          <cell r="C23">
            <v>1075.346</v>
          </cell>
          <cell r="E23">
            <v>829.28583333333336</v>
          </cell>
          <cell r="G23">
            <v>828.79808333333335</v>
          </cell>
          <cell r="I23">
            <v>927.85925000000009</v>
          </cell>
          <cell r="K23">
            <v>-99.061166666666736</v>
          </cell>
        </row>
        <row r="24">
          <cell r="C24">
            <v>775.72700000000009</v>
          </cell>
          <cell r="E24">
            <v>1156.0249999999999</v>
          </cell>
          <cell r="G24">
            <v>1155.9249999999997</v>
          </cell>
          <cell r="I24">
            <v>1155.5249999999999</v>
          </cell>
          <cell r="K24">
            <v>0.39999999999986358</v>
          </cell>
        </row>
        <row r="25">
          <cell r="C25">
            <v>438.36100000000005</v>
          </cell>
          <cell r="E25">
            <v>458.67750000000001</v>
          </cell>
          <cell r="G25">
            <v>459.00741666666664</v>
          </cell>
          <cell r="I25">
            <v>591.58175000000006</v>
          </cell>
          <cell r="K25">
            <v>-132.57433333333341</v>
          </cell>
        </row>
        <row r="26">
          <cell r="C26">
            <v>417.05500000000001</v>
          </cell>
          <cell r="E26">
            <v>757.00266666666664</v>
          </cell>
          <cell r="G26">
            <v>886.50183333333325</v>
          </cell>
          <cell r="I26">
            <v>410.92250000000001</v>
          </cell>
          <cell r="K26">
            <v>475.57933333333324</v>
          </cell>
        </row>
        <row r="27">
          <cell r="C27">
            <v>297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E28">
            <v>3522.9726666666661</v>
          </cell>
        </row>
        <row r="31">
          <cell r="C31">
            <v>1911.3000000000002</v>
          </cell>
          <cell r="E31">
            <v>1605.7000000000003</v>
          </cell>
          <cell r="G31">
            <v>1605.9000000000003</v>
          </cell>
          <cell r="I31">
            <v>1605.5000000000002</v>
          </cell>
          <cell r="K31">
            <v>0.40000000000009095</v>
          </cell>
        </row>
        <row r="32">
          <cell r="C32">
            <v>109.91800000000012</v>
          </cell>
          <cell r="E32">
            <v>47.969999999999914</v>
          </cell>
          <cell r="G32">
            <v>104.10999999999996</v>
          </cell>
          <cell r="I32">
            <v>132.24999999999994</v>
          </cell>
          <cell r="K32">
            <v>-28.139999999999986</v>
          </cell>
        </row>
        <row r="33">
          <cell r="C33">
            <v>1196.6999999999998</v>
          </cell>
          <cell r="E33">
            <v>1326.125</v>
          </cell>
          <cell r="G33">
            <v>1326.125</v>
          </cell>
          <cell r="I33">
            <v>1326.125</v>
          </cell>
          <cell r="K33">
            <v>0</v>
          </cell>
        </row>
        <row r="34">
          <cell r="C34">
            <v>105.5</v>
          </cell>
          <cell r="E34">
            <v>106.35</v>
          </cell>
          <cell r="G34">
            <v>104.35</v>
          </cell>
          <cell r="I34">
            <v>106.55</v>
          </cell>
          <cell r="K34">
            <v>-2.2000000000000028</v>
          </cell>
        </row>
        <row r="35">
          <cell r="C35">
            <v>1339.6076666666668</v>
          </cell>
          <cell r="E35">
            <v>2025.8416666666667</v>
          </cell>
          <cell r="G35">
            <v>2149.7617500000001</v>
          </cell>
          <cell r="I35">
            <v>1965.8892500000002</v>
          </cell>
          <cell r="K35">
            <v>183.87249999999995</v>
          </cell>
        </row>
        <row r="36">
          <cell r="C36">
            <v>490.9</v>
          </cell>
          <cell r="E36">
            <v>415.76333333333332</v>
          </cell>
          <cell r="G36">
            <v>415.25466666666665</v>
          </cell>
          <cell r="I36">
            <v>415.625</v>
          </cell>
          <cell r="K36">
            <v>-0.37033333333334895</v>
          </cell>
        </row>
        <row r="37">
          <cell r="C37">
            <v>464</v>
          </cell>
          <cell r="E37">
            <v>160.22466666666668</v>
          </cell>
          <cell r="G37">
            <v>27.87833333333333</v>
          </cell>
          <cell r="I37">
            <v>477.92500000000001</v>
          </cell>
          <cell r="K37">
            <v>-450.04666666666668</v>
          </cell>
        </row>
        <row r="38">
          <cell r="C38">
            <v>575.76</v>
          </cell>
          <cell r="E38">
            <v>544.59466666666663</v>
          </cell>
          <cell r="G38">
            <v>531.81133333333332</v>
          </cell>
          <cell r="I38">
            <v>583.58950000000004</v>
          </cell>
          <cell r="K38">
            <v>-51.778166666666721</v>
          </cell>
        </row>
        <row r="39">
          <cell r="C39">
            <v>373.584</v>
          </cell>
          <cell r="E39">
            <v>125</v>
          </cell>
          <cell r="G39">
            <v>125</v>
          </cell>
          <cell r="I39">
            <v>373.03174999999999</v>
          </cell>
          <cell r="K39">
            <v>-248.03174999999999</v>
          </cell>
        </row>
        <row r="40">
          <cell r="C40">
            <v>224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2">
          <cell r="E42">
            <v>6357.5693333333338</v>
          </cell>
        </row>
      </sheetData>
      <sheetData sheetId="1">
        <row r="8">
          <cell r="C8">
            <v>0</v>
          </cell>
          <cell r="E8">
            <v>21.24666666666667</v>
          </cell>
          <cell r="G8">
            <v>20.772333333333336</v>
          </cell>
          <cell r="I8">
            <v>21.25</v>
          </cell>
          <cell r="K8">
            <v>-0.47766666666666424</v>
          </cell>
        </row>
        <row r="9">
          <cell r="C9">
            <v>100.425</v>
          </cell>
          <cell r="E9">
            <v>106.21599999999998</v>
          </cell>
          <cell r="G9">
            <v>106.752</v>
          </cell>
          <cell r="I9">
            <v>118.684</v>
          </cell>
          <cell r="K9">
            <v>-11.932000000000002</v>
          </cell>
        </row>
        <row r="10">
          <cell r="C10">
            <v>287.245</v>
          </cell>
          <cell r="E10">
            <v>330.85900000000004</v>
          </cell>
          <cell r="G10">
            <v>331.20400000000001</v>
          </cell>
          <cell r="I10">
            <v>330.82499999999999</v>
          </cell>
          <cell r="K10">
            <v>0.3790000000000191</v>
          </cell>
        </row>
        <row r="11">
          <cell r="C11">
            <v>191</v>
          </cell>
          <cell r="E11">
            <v>216.32133333333334</v>
          </cell>
          <cell r="G11">
            <v>216.02466666666666</v>
          </cell>
          <cell r="I11">
            <v>241.32499999999999</v>
          </cell>
          <cell r="K11">
            <v>-25.300333333333327</v>
          </cell>
        </row>
        <row r="12">
          <cell r="C12">
            <v>96</v>
          </cell>
          <cell r="E12">
            <v>97.277999999999992</v>
          </cell>
          <cell r="G12">
            <v>96.562999999999988</v>
          </cell>
          <cell r="I12">
            <v>104.783</v>
          </cell>
          <cell r="K12">
            <v>-8.2200000000000131</v>
          </cell>
        </row>
        <row r="13">
          <cell r="C13">
            <v>298</v>
          </cell>
          <cell r="E13">
            <v>415.27533333333332</v>
          </cell>
          <cell r="G13">
            <v>415.3896666666667</v>
          </cell>
          <cell r="I13">
            <v>415.25</v>
          </cell>
          <cell r="K13">
            <v>0.1396666666666988</v>
          </cell>
        </row>
        <row r="14">
          <cell r="C14">
            <v>45.4</v>
          </cell>
          <cell r="E14">
            <v>58.531000000000006</v>
          </cell>
          <cell r="G14">
            <v>58.673000000000002</v>
          </cell>
          <cell r="I14">
            <v>61.942000000000007</v>
          </cell>
          <cell r="K14">
            <v>-3.2690000000000055</v>
          </cell>
        </row>
        <row r="15">
          <cell r="C15">
            <v>156</v>
          </cell>
          <cell r="E15">
            <v>280.30499999999995</v>
          </cell>
          <cell r="G15">
            <v>279.37</v>
          </cell>
          <cell r="I15">
            <v>302.84199999999998</v>
          </cell>
          <cell r="K15">
            <v>-23.47199999999998</v>
          </cell>
        </row>
        <row r="16">
          <cell r="C16">
            <v>4716.9619999999995</v>
          </cell>
          <cell r="E16">
            <v>4943.0990000000002</v>
          </cell>
          <cell r="G16">
            <v>4500.0059999999994</v>
          </cell>
          <cell r="I16">
            <v>5096.5</v>
          </cell>
          <cell r="K16">
            <v>-596.4940000000006</v>
          </cell>
        </row>
        <row r="17">
          <cell r="C17">
            <v>751.06200000000013</v>
          </cell>
          <cell r="E17">
            <v>836.02500000000009</v>
          </cell>
          <cell r="G17">
            <v>649.125</v>
          </cell>
          <cell r="I17">
            <v>830.43100000000004</v>
          </cell>
          <cell r="K17">
            <v>-181.30600000000004</v>
          </cell>
        </row>
        <row r="18">
          <cell r="C18">
            <v>-361</v>
          </cell>
          <cell r="E18">
            <v>20.943999999999999</v>
          </cell>
          <cell r="G18">
            <v>20.943999999999999</v>
          </cell>
          <cell r="I18">
            <v>-50</v>
          </cell>
          <cell r="K18">
            <v>70.944000000000003</v>
          </cell>
        </row>
        <row r="19">
          <cell r="E19">
            <v>7326.1003333333329</v>
          </cell>
        </row>
        <row r="22">
          <cell r="C22">
            <v>343.291</v>
          </cell>
          <cell r="E22">
            <v>290.89299999999997</v>
          </cell>
          <cell r="G22">
            <v>91.114333333333335</v>
          </cell>
          <cell r="I22">
            <v>373.00799999999998</v>
          </cell>
          <cell r="K22">
            <v>-281.89366666666666</v>
          </cell>
        </row>
        <row r="23">
          <cell r="C23">
            <v>319.60500000000002</v>
          </cell>
          <cell r="E23">
            <v>289.89733333333334</v>
          </cell>
          <cell r="G23">
            <v>290.16191666666668</v>
          </cell>
          <cell r="I23">
            <v>321.91699999999997</v>
          </cell>
          <cell r="K23">
            <v>-31.755083333333289</v>
          </cell>
        </row>
        <row r="24">
          <cell r="C24">
            <v>172.03299999999999</v>
          </cell>
          <cell r="E24">
            <v>405.98</v>
          </cell>
          <cell r="G24">
            <v>405.464</v>
          </cell>
          <cell r="I24">
            <v>405.65</v>
          </cell>
          <cell r="K24">
            <v>-0.18599999999997863</v>
          </cell>
        </row>
        <row r="25">
          <cell r="C25">
            <v>90.105999999999995</v>
          </cell>
          <cell r="E25">
            <v>85.019749999999988</v>
          </cell>
          <cell r="G25">
            <v>85.557500000000005</v>
          </cell>
          <cell r="I25">
            <v>100.06975</v>
          </cell>
          <cell r="K25">
            <v>-14.512249999999995</v>
          </cell>
        </row>
        <row r="26">
          <cell r="C26">
            <v>205.60300000000001</v>
          </cell>
          <cell r="E26">
            <v>358.1488333333333</v>
          </cell>
          <cell r="G26">
            <v>415.63308333333327</v>
          </cell>
          <cell r="I26">
            <v>197.88425000000001</v>
          </cell>
          <cell r="K26">
            <v>217.74883333333327</v>
          </cell>
        </row>
        <row r="27">
          <cell r="C27">
            <v>84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E28">
            <v>1429.9389166666665</v>
          </cell>
        </row>
        <row r="31">
          <cell r="C31">
            <v>559.61666666669976</v>
          </cell>
          <cell r="E31">
            <v>476.10000000000014</v>
          </cell>
          <cell r="G31">
            <v>476.10000000000014</v>
          </cell>
          <cell r="I31">
            <v>476.10000000000014</v>
          </cell>
          <cell r="K31">
            <v>0</v>
          </cell>
        </row>
        <row r="32">
          <cell r="C32">
            <v>23.600000000000023</v>
          </cell>
          <cell r="E32">
            <v>3.9339999999999691</v>
          </cell>
          <cell r="G32">
            <v>27.285000000000025</v>
          </cell>
          <cell r="I32">
            <v>27.250000000000028</v>
          </cell>
          <cell r="K32">
            <v>3.4999999999996589E-2</v>
          </cell>
        </row>
        <row r="33">
          <cell r="C33">
            <v>249.60000000000002</v>
          </cell>
          <cell r="E33">
            <v>448.04999999999995</v>
          </cell>
          <cell r="G33">
            <v>447.83299999999997</v>
          </cell>
          <cell r="I33">
            <v>448.04999999999995</v>
          </cell>
          <cell r="K33">
            <v>-0.21699999999998454</v>
          </cell>
        </row>
        <row r="34">
          <cell r="C34">
            <v>24.299999999999997</v>
          </cell>
          <cell r="E34">
            <v>20</v>
          </cell>
          <cell r="G34">
            <v>20</v>
          </cell>
          <cell r="I34">
            <v>20</v>
          </cell>
          <cell r="K34">
            <v>0</v>
          </cell>
        </row>
        <row r="35">
          <cell r="C35">
            <v>366.39433333333335</v>
          </cell>
          <cell r="E35">
            <v>455.11766666666665</v>
          </cell>
          <cell r="G35">
            <v>655.49666666666667</v>
          </cell>
          <cell r="I35">
            <v>462.34500000000003</v>
          </cell>
          <cell r="K35">
            <v>193.15166666666664</v>
          </cell>
        </row>
        <row r="36">
          <cell r="C36">
            <v>0</v>
          </cell>
          <cell r="E36">
            <v>104.25033333333332</v>
          </cell>
          <cell r="G36">
            <v>104.47066666666666</v>
          </cell>
          <cell r="I36">
            <v>104</v>
          </cell>
          <cell r="K36">
            <v>0.47066666666665924</v>
          </cell>
        </row>
        <row r="37">
          <cell r="C37">
            <v>25.701999999999998</v>
          </cell>
          <cell r="E37">
            <v>45.220666666666666</v>
          </cell>
          <cell r="G37">
            <v>46.020666666666664</v>
          </cell>
          <cell r="I37">
            <v>45.475000000000001</v>
          </cell>
          <cell r="K37">
            <v>0.54566666666666208</v>
          </cell>
        </row>
        <row r="38">
          <cell r="C38">
            <v>125.90899999999999</v>
          </cell>
          <cell r="E38">
            <v>125.55133333333333</v>
          </cell>
          <cell r="G38">
            <v>121.23</v>
          </cell>
          <cell r="I38">
            <v>121.301</v>
          </cell>
          <cell r="K38">
            <v>-7.0999999999997954E-2</v>
          </cell>
        </row>
        <row r="39">
          <cell r="C39">
            <v>77.400000000000006</v>
          </cell>
          <cell r="E39">
            <v>25.058000000000007</v>
          </cell>
          <cell r="G39">
            <v>25.030000000000008</v>
          </cell>
          <cell r="I39">
            <v>68.25</v>
          </cell>
          <cell r="K39">
            <v>-43.219999999999992</v>
          </cell>
        </row>
        <row r="40">
          <cell r="C40">
            <v>260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2">
          <cell r="E42">
            <v>1703.2820000000002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16.582000000000001</v>
          </cell>
          <cell r="E11">
            <v>16.582000000000001</v>
          </cell>
          <cell r="F11">
            <v>34.241666666666667</v>
          </cell>
        </row>
        <row r="12">
          <cell r="D12">
            <v>122.575</v>
          </cell>
          <cell r="E12">
            <v>37.307000000000002</v>
          </cell>
          <cell r="F12">
            <v>190.59</v>
          </cell>
        </row>
        <row r="13">
          <cell r="D13">
            <v>467.22899999999998</v>
          </cell>
          <cell r="E13">
            <v>597.90699999999993</v>
          </cell>
          <cell r="F13">
            <v>314.02499999999998</v>
          </cell>
        </row>
        <row r="14">
          <cell r="D14">
            <v>494.34100000000001</v>
          </cell>
          <cell r="E14">
            <v>590.68600000000004</v>
          </cell>
          <cell r="F14">
            <v>1165.7666666666667</v>
          </cell>
        </row>
        <row r="15">
          <cell r="D15">
            <v>769.61199999999997</v>
          </cell>
          <cell r="E15">
            <v>83.103999999999999</v>
          </cell>
          <cell r="F15">
            <v>177.05500000000001</v>
          </cell>
        </row>
        <row r="16">
          <cell r="D16">
            <v>482.66699999999997</v>
          </cell>
          <cell r="E16">
            <v>478.173</v>
          </cell>
          <cell r="F16">
            <v>345.48333333333329</v>
          </cell>
        </row>
        <row r="17">
          <cell r="D17">
            <v>145.58600000000001</v>
          </cell>
          <cell r="E17">
            <v>67.725999999999999</v>
          </cell>
          <cell r="F17">
            <v>103.27900000000001</v>
          </cell>
        </row>
        <row r="18">
          <cell r="D18">
            <v>10.039999999999999</v>
          </cell>
          <cell r="E18">
            <v>10.430999999999999</v>
          </cell>
          <cell r="F18">
            <v>-2.2013333333333325</v>
          </cell>
        </row>
        <row r="19">
          <cell r="D19">
            <v>4884.8850000000002</v>
          </cell>
          <cell r="E19">
            <v>6707.6239999999998</v>
          </cell>
          <cell r="F19">
            <v>6406</v>
          </cell>
        </row>
        <row r="20">
          <cell r="D20">
            <v>420.93</v>
          </cell>
          <cell r="E20">
            <v>431.25333333333327</v>
          </cell>
          <cell r="F20">
            <v>167.95199999999997</v>
          </cell>
        </row>
        <row r="21">
          <cell r="D21">
            <v>0</v>
          </cell>
          <cell r="E21">
            <v>0</v>
          </cell>
          <cell r="F21">
            <v>-61.899999999999977</v>
          </cell>
        </row>
        <row r="25">
          <cell r="D25">
            <v>174.27149999999997</v>
          </cell>
          <cell r="E25">
            <v>181.03350000000003</v>
          </cell>
          <cell r="F25">
            <v>166.85508333333331</v>
          </cell>
        </row>
        <row r="26">
          <cell r="D26">
            <v>334.91299999999995</v>
          </cell>
          <cell r="E26">
            <v>338.69866666666667</v>
          </cell>
          <cell r="F26">
            <v>155.18641666666667</v>
          </cell>
        </row>
        <row r="27">
          <cell r="D27">
            <v>91.824999999999932</v>
          </cell>
          <cell r="E27">
            <v>499.17499999999995</v>
          </cell>
          <cell r="F27">
            <v>564.92499999999995</v>
          </cell>
        </row>
        <row r="28">
          <cell r="D28">
            <v>215.03800000000001</v>
          </cell>
          <cell r="E28">
            <v>157.04283333333333</v>
          </cell>
          <cell r="F28">
            <v>86.926583333333326</v>
          </cell>
        </row>
        <row r="29">
          <cell r="D29">
            <v>262.82099999999997</v>
          </cell>
          <cell r="E29">
            <v>302.69</v>
          </cell>
          <cell r="F29">
            <v>320.99083333333328</v>
          </cell>
        </row>
        <row r="30">
          <cell r="D30">
            <v>0</v>
          </cell>
          <cell r="E30">
            <v>0</v>
          </cell>
          <cell r="F30">
            <v>0</v>
          </cell>
        </row>
        <row r="34">
          <cell r="D34">
            <v>535.36666666666679</v>
          </cell>
          <cell r="E34">
            <v>535.36666666666679</v>
          </cell>
          <cell r="F34">
            <v>535.16666666666674</v>
          </cell>
        </row>
        <row r="35">
          <cell r="D35">
            <v>34.703333333333319</v>
          </cell>
          <cell r="E35">
            <v>34.703333333333319</v>
          </cell>
          <cell r="F35">
            <v>34.703333333333319</v>
          </cell>
        </row>
        <row r="36">
          <cell r="D36">
            <v>442.04166666666669</v>
          </cell>
          <cell r="E36">
            <v>442.04166666666669</v>
          </cell>
          <cell r="F36">
            <v>442.04166666666669</v>
          </cell>
        </row>
        <row r="37">
          <cell r="D37">
            <v>33.316666666666663</v>
          </cell>
          <cell r="E37">
            <v>35.516666666666666</v>
          </cell>
          <cell r="F37">
            <v>35.516666666666666</v>
          </cell>
        </row>
        <row r="38">
          <cell r="D38">
            <v>843.68216666666683</v>
          </cell>
          <cell r="E38">
            <v>644.03866666666659</v>
          </cell>
          <cell r="F38">
            <v>662.04091666666682</v>
          </cell>
        </row>
        <row r="39">
          <cell r="D39">
            <v>87.48</v>
          </cell>
          <cell r="E39">
            <v>141.03299999999999</v>
          </cell>
          <cell r="F39">
            <v>186.74166666666667</v>
          </cell>
        </row>
        <row r="40">
          <cell r="D40">
            <v>77.207999999999998</v>
          </cell>
          <cell r="E40">
            <v>61.362000000000002</v>
          </cell>
          <cell r="F40">
            <v>-110.69166666666666</v>
          </cell>
        </row>
        <row r="41">
          <cell r="D41">
            <v>155.53500000000003</v>
          </cell>
          <cell r="E41">
            <v>181.74649999999997</v>
          </cell>
          <cell r="F41">
            <v>194.52983333333333</v>
          </cell>
        </row>
        <row r="42">
          <cell r="D42">
            <v>207</v>
          </cell>
          <cell r="E42">
            <v>207</v>
          </cell>
          <cell r="F42">
            <v>-289</v>
          </cell>
        </row>
        <row r="43">
          <cell r="D43">
            <v>0</v>
          </cell>
          <cell r="E43">
            <v>0</v>
          </cell>
          <cell r="F43">
            <v>0</v>
          </cell>
        </row>
      </sheetData>
      <sheetData sheetId="2"/>
      <sheetData sheetId="3"/>
      <sheetData sheetId="4"/>
      <sheetData sheetId="5"/>
      <sheetData sheetId="6">
        <row r="11">
          <cell r="D11">
            <v>8.8800000000000008</v>
          </cell>
          <cell r="E11">
            <v>9.609</v>
          </cell>
          <cell r="F11">
            <v>2.2833333333333332</v>
          </cell>
        </row>
        <row r="12">
          <cell r="D12">
            <v>36.756999999999998</v>
          </cell>
          <cell r="E12">
            <v>11.521000000000001</v>
          </cell>
          <cell r="F12">
            <v>58.473999999999997</v>
          </cell>
        </row>
        <row r="13">
          <cell r="D13">
            <v>-17.091000000000001</v>
          </cell>
          <cell r="E13">
            <v>140.62</v>
          </cell>
          <cell r="F13">
            <v>207.67500000000001</v>
          </cell>
        </row>
        <row r="14">
          <cell r="D14">
            <v>80.537999999999997</v>
          </cell>
          <cell r="E14">
            <v>80.144999999999996</v>
          </cell>
          <cell r="F14">
            <v>55.341666666666669</v>
          </cell>
        </row>
        <row r="15">
          <cell r="D15">
            <v>26.15</v>
          </cell>
          <cell r="E15">
            <v>37.878999999999998</v>
          </cell>
          <cell r="F15">
            <v>32.533999999999999</v>
          </cell>
        </row>
        <row r="16">
          <cell r="D16">
            <v>113.042</v>
          </cell>
          <cell r="E16">
            <v>107.53100000000001</v>
          </cell>
          <cell r="F16">
            <v>194.81666666666666</v>
          </cell>
        </row>
        <row r="17">
          <cell r="D17">
            <v>16.504999999999999</v>
          </cell>
          <cell r="E17">
            <v>18.704999999999998</v>
          </cell>
          <cell r="F17">
            <v>23.463000000000005</v>
          </cell>
        </row>
        <row r="18">
          <cell r="D18">
            <v>52.332000000000001</v>
          </cell>
          <cell r="E18">
            <v>52.701000000000001</v>
          </cell>
          <cell r="F18">
            <v>174.33699999999999</v>
          </cell>
        </row>
        <row r="19">
          <cell r="D19">
            <v>1332.2639999999999</v>
          </cell>
          <cell r="E19">
            <v>1471.4069999999999</v>
          </cell>
          <cell r="F19">
            <v>1696.335</v>
          </cell>
        </row>
        <row r="20">
          <cell r="D20">
            <v>228.76066666666665</v>
          </cell>
          <cell r="E20">
            <v>174.19066666666666</v>
          </cell>
          <cell r="F20">
            <v>246.17366666666666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20.943999999999999</v>
          </cell>
        </row>
        <row r="23">
          <cell r="D23">
            <v>0</v>
          </cell>
          <cell r="E23">
            <v>0</v>
          </cell>
          <cell r="F23">
            <v>0</v>
          </cell>
        </row>
        <row r="27">
          <cell r="D27">
            <v>97.021000000000001</v>
          </cell>
          <cell r="E27">
            <v>102.15733333333333</v>
          </cell>
          <cell r="F27">
            <v>-108.06400000000001</v>
          </cell>
        </row>
        <row r="28">
          <cell r="D28">
            <v>112.68600000000001</v>
          </cell>
          <cell r="E28">
            <v>113.87025</v>
          </cell>
          <cell r="F28">
            <v>63.605666666666664</v>
          </cell>
        </row>
        <row r="29">
          <cell r="D29">
            <v>35.073666666666668</v>
          </cell>
          <cell r="E29">
            <v>143.17366666666666</v>
          </cell>
          <cell r="F29">
            <v>227.21666666666667</v>
          </cell>
        </row>
        <row r="30">
          <cell r="D30">
            <v>34.706583333333327</v>
          </cell>
          <cell r="E30">
            <v>27.758583333333334</v>
          </cell>
          <cell r="F30">
            <v>23.092333333333336</v>
          </cell>
        </row>
        <row r="31">
          <cell r="D31">
            <v>132.02599999999998</v>
          </cell>
          <cell r="E31">
            <v>130.44566666666665</v>
          </cell>
          <cell r="F31">
            <v>153.16141666666664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8">
          <cell r="D38">
            <v>158.70000000000005</v>
          </cell>
          <cell r="E38">
            <v>158.70000000000005</v>
          </cell>
          <cell r="F38">
            <v>158.70000000000005</v>
          </cell>
        </row>
        <row r="39">
          <cell r="D39">
            <v>8.960000000000008</v>
          </cell>
          <cell r="E39">
            <v>9.3650000000000091</v>
          </cell>
          <cell r="F39">
            <v>8.960000000000008</v>
          </cell>
        </row>
        <row r="40">
          <cell r="D40">
            <v>149.333</v>
          </cell>
          <cell r="E40">
            <v>149.25</v>
          </cell>
          <cell r="F40">
            <v>149.25</v>
          </cell>
        </row>
        <row r="41">
          <cell r="D41">
            <v>6.666666666666667</v>
          </cell>
          <cell r="E41">
            <v>6.666666666666667</v>
          </cell>
          <cell r="F41">
            <v>6.666666666666667</v>
          </cell>
        </row>
        <row r="42">
          <cell r="D42">
            <v>212.0573333333333</v>
          </cell>
          <cell r="E42">
            <v>114.00466666666668</v>
          </cell>
          <cell r="F42">
            <v>329.43466666666666</v>
          </cell>
        </row>
        <row r="43">
          <cell r="D43">
            <v>17.916999999999998</v>
          </cell>
          <cell r="E43">
            <v>28.887</v>
          </cell>
          <cell r="F43">
            <v>57.666666666666664</v>
          </cell>
        </row>
        <row r="44">
          <cell r="D44">
            <v>14.904</v>
          </cell>
          <cell r="E44">
            <v>15.958333333333334</v>
          </cell>
          <cell r="F44">
            <v>15.158333333333333</v>
          </cell>
        </row>
        <row r="45">
          <cell r="D45">
            <v>44.683999999999997</v>
          </cell>
          <cell r="E45">
            <v>40.112333333333339</v>
          </cell>
          <cell r="F45">
            <v>36.433666666666667</v>
          </cell>
        </row>
        <row r="46">
          <cell r="D46">
            <v>43.029000000000003</v>
          </cell>
          <cell r="E46">
            <v>1.0000000000047748E-3</v>
          </cell>
          <cell r="F46">
            <v>-18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22.44</v>
          </cell>
          <cell r="E11">
            <v>22.441666666666666</v>
          </cell>
          <cell r="F11">
            <v>22.441666666666666</v>
          </cell>
        </row>
        <row r="12">
          <cell r="D12">
            <v>122.148</v>
          </cell>
          <cell r="E12">
            <v>130.392</v>
          </cell>
          <cell r="F12">
            <v>136.09</v>
          </cell>
        </row>
        <row r="13">
          <cell r="D13">
            <v>509.625</v>
          </cell>
          <cell r="E13">
            <v>509.625</v>
          </cell>
          <cell r="F13">
            <v>509.625</v>
          </cell>
        </row>
        <row r="14">
          <cell r="D14">
            <v>841.56666666666661</v>
          </cell>
          <cell r="E14">
            <v>841.56666666666661</v>
          </cell>
          <cell r="F14">
            <v>841.56666666666661</v>
          </cell>
        </row>
        <row r="15">
          <cell r="D15">
            <v>757.89800000000002</v>
          </cell>
          <cell r="E15">
            <v>224.63200000000001</v>
          </cell>
          <cell r="F15">
            <v>90.122</v>
          </cell>
        </row>
        <row r="16">
          <cell r="D16">
            <v>435.58333333333331</v>
          </cell>
          <cell r="E16">
            <v>435.58333333333331</v>
          </cell>
          <cell r="F16">
            <v>435.58333333333331</v>
          </cell>
        </row>
        <row r="17">
          <cell r="D17">
            <v>109.452</v>
          </cell>
          <cell r="E17">
            <v>116.554</v>
          </cell>
          <cell r="F17">
            <v>122.379</v>
          </cell>
        </row>
        <row r="18">
          <cell r="D18">
            <v>6.666666666666667</v>
          </cell>
          <cell r="E18">
            <v>6.666666666666667</v>
          </cell>
          <cell r="F18">
            <v>6.666666666666667</v>
          </cell>
        </row>
        <row r="19">
          <cell r="D19">
            <v>7330</v>
          </cell>
          <cell r="E19">
            <v>7330.7</v>
          </cell>
          <cell r="F19">
            <v>7330</v>
          </cell>
        </row>
        <row r="20">
          <cell r="D20">
            <v>423.95</v>
          </cell>
          <cell r="E20">
            <v>423.952</v>
          </cell>
          <cell r="F20">
            <v>167.95199999999997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-500</v>
          </cell>
        </row>
        <row r="23">
          <cell r="D23">
            <v>0</v>
          </cell>
          <cell r="E23">
            <v>0</v>
          </cell>
          <cell r="F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</row>
        <row r="28">
          <cell r="D28">
            <v>209.65508333333332</v>
          </cell>
          <cell r="E28">
            <v>209.65508333333332</v>
          </cell>
          <cell r="F28">
            <v>209.65508333333332</v>
          </cell>
        </row>
        <row r="29">
          <cell r="D29">
            <v>309.2864166666667</v>
          </cell>
          <cell r="E29">
            <v>309.2864166666667</v>
          </cell>
          <cell r="F29">
            <v>309.2864166666667</v>
          </cell>
        </row>
        <row r="30">
          <cell r="D30">
            <v>385.17499999999995</v>
          </cell>
          <cell r="E30">
            <v>385.17499999999995</v>
          </cell>
          <cell r="F30">
            <v>385.17499999999995</v>
          </cell>
        </row>
        <row r="31">
          <cell r="D31">
            <v>197.19391666666667</v>
          </cell>
          <cell r="E31">
            <v>197.19391666666667</v>
          </cell>
          <cell r="F31">
            <v>197.19391666666667</v>
          </cell>
        </row>
        <row r="32">
          <cell r="D32">
            <v>136.97416666666666</v>
          </cell>
          <cell r="E32">
            <v>136.97416666666666</v>
          </cell>
          <cell r="F32">
            <v>136.97416666666666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</row>
        <row r="39">
          <cell r="D39">
            <v>535.16666666666674</v>
          </cell>
          <cell r="E39">
            <v>535.16666666666674</v>
          </cell>
          <cell r="F39">
            <v>535.16666666666674</v>
          </cell>
        </row>
        <row r="40">
          <cell r="D40">
            <v>44.083333333333314</v>
          </cell>
          <cell r="E40">
            <v>44.083333333333314</v>
          </cell>
          <cell r="F40">
            <v>44.083333333333314</v>
          </cell>
        </row>
        <row r="41">
          <cell r="D41">
            <v>442.04166666666669</v>
          </cell>
          <cell r="E41">
            <v>442.04166666666669</v>
          </cell>
          <cell r="F41">
            <v>442.04166666666669</v>
          </cell>
        </row>
        <row r="42">
          <cell r="D42">
            <v>35.516666666666666</v>
          </cell>
          <cell r="E42">
            <v>35.516666666666666</v>
          </cell>
          <cell r="F42">
            <v>35.516666666666666</v>
          </cell>
        </row>
        <row r="43">
          <cell r="D43">
            <v>655.29641666666669</v>
          </cell>
          <cell r="E43">
            <v>655.29641666666669</v>
          </cell>
          <cell r="F43">
            <v>655.29641666666669</v>
          </cell>
        </row>
        <row r="44">
          <cell r="D44">
            <v>138.54166666666666</v>
          </cell>
          <cell r="E44">
            <v>138.54166666666666</v>
          </cell>
          <cell r="F44">
            <v>138.54166666666666</v>
          </cell>
        </row>
        <row r="45">
          <cell r="D45">
            <v>159.30833333333334</v>
          </cell>
          <cell r="E45">
            <v>159.30833333333334</v>
          </cell>
          <cell r="F45">
            <v>159.30833333333334</v>
          </cell>
        </row>
        <row r="46">
          <cell r="D46">
            <v>194.52983333333333</v>
          </cell>
          <cell r="E46">
            <v>194.52983333333333</v>
          </cell>
          <cell r="F46">
            <v>194.52983333333333</v>
          </cell>
        </row>
        <row r="47">
          <cell r="D47">
            <v>124.34391666666666</v>
          </cell>
          <cell r="E47">
            <v>124.34391666666666</v>
          </cell>
          <cell r="F47">
            <v>124.34391666666666</v>
          </cell>
        </row>
        <row r="48">
          <cell r="D48">
            <v>0</v>
          </cell>
          <cell r="E48">
            <v>0</v>
          </cell>
          <cell r="F48">
            <v>0</v>
          </cell>
        </row>
      </sheetData>
      <sheetData sheetId="2"/>
      <sheetData sheetId="3"/>
      <sheetData sheetId="4"/>
      <sheetData sheetId="5"/>
      <sheetData sheetId="6">
        <row r="11">
          <cell r="D11">
            <v>7.083333333333333</v>
          </cell>
          <cell r="E11">
            <v>7.083333333333333</v>
          </cell>
          <cell r="F11">
            <v>7.083333333333333</v>
          </cell>
        </row>
        <row r="12">
          <cell r="D12">
            <v>38.191000000000003</v>
          </cell>
          <cell r="E12">
            <v>39.152000000000001</v>
          </cell>
          <cell r="F12">
            <v>41.341000000000001</v>
          </cell>
        </row>
        <row r="13">
          <cell r="D13">
            <v>110.27499999999999</v>
          </cell>
          <cell r="E13">
            <v>110.27499999999999</v>
          </cell>
          <cell r="F13">
            <v>110.27499999999999</v>
          </cell>
        </row>
        <row r="14">
          <cell r="D14">
            <v>80.441666666666663</v>
          </cell>
          <cell r="E14">
            <v>80.441666666666663</v>
          </cell>
          <cell r="F14">
            <v>80.441666666666663</v>
          </cell>
        </row>
        <row r="15">
          <cell r="D15">
            <v>34.555</v>
          </cell>
          <cell r="E15">
            <v>35.094000000000001</v>
          </cell>
          <cell r="F15">
            <v>35.134</v>
          </cell>
        </row>
        <row r="16">
          <cell r="D16">
            <v>138.41666666666666</v>
          </cell>
          <cell r="E16">
            <v>138.41666666666666</v>
          </cell>
          <cell r="F16">
            <v>138.41666666666666</v>
          </cell>
        </row>
        <row r="17">
          <cell r="D17">
            <v>20.216000000000001</v>
          </cell>
          <cell r="E17">
            <v>20.713000000000001</v>
          </cell>
          <cell r="F17">
            <v>21.013000000000002</v>
          </cell>
        </row>
        <row r="18">
          <cell r="D18">
            <v>112.57299999999999</v>
          </cell>
          <cell r="E18">
            <v>95.134</v>
          </cell>
          <cell r="F18">
            <v>95.135000000000005</v>
          </cell>
        </row>
        <row r="19">
          <cell r="D19">
            <v>1671.8</v>
          </cell>
          <cell r="E19">
            <v>1669.5</v>
          </cell>
          <cell r="F19">
            <v>1755.2</v>
          </cell>
        </row>
        <row r="20">
          <cell r="D20">
            <v>265.16666666666663</v>
          </cell>
          <cell r="E20">
            <v>264.69766666666669</v>
          </cell>
          <cell r="F20">
            <v>300.56666666666666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-50</v>
          </cell>
        </row>
        <row r="23">
          <cell r="D23">
            <v>0</v>
          </cell>
          <cell r="E23">
            <v>0</v>
          </cell>
          <cell r="F23">
            <v>0</v>
          </cell>
        </row>
        <row r="27">
          <cell r="D27">
            <v>124.336</v>
          </cell>
          <cell r="E27">
            <v>124.336</v>
          </cell>
          <cell r="F27">
            <v>124.336</v>
          </cell>
        </row>
        <row r="28">
          <cell r="D28">
            <v>107.30566666666665</v>
          </cell>
          <cell r="E28">
            <v>107.30566666666665</v>
          </cell>
          <cell r="F28">
            <v>107.30566666666665</v>
          </cell>
        </row>
        <row r="29">
          <cell r="D29">
            <v>135.21666666666667</v>
          </cell>
          <cell r="E29">
            <v>135.21666666666667</v>
          </cell>
          <cell r="F29">
            <v>135.21666666666667</v>
          </cell>
        </row>
        <row r="30">
          <cell r="D30">
            <v>33.356583333333333</v>
          </cell>
          <cell r="E30">
            <v>33.356583333333333</v>
          </cell>
          <cell r="F30">
            <v>33.356583333333333</v>
          </cell>
        </row>
        <row r="31">
          <cell r="D31">
            <v>65.961416666666665</v>
          </cell>
          <cell r="E31">
            <v>65.961416666666665</v>
          </cell>
          <cell r="F31">
            <v>65.961416666666665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8">
          <cell r="D38">
            <v>158.70000000000005</v>
          </cell>
          <cell r="E38">
            <v>158.70000000000005</v>
          </cell>
          <cell r="F38">
            <v>158.70000000000005</v>
          </cell>
        </row>
        <row r="39">
          <cell r="D39">
            <v>9.0833333333333428</v>
          </cell>
          <cell r="E39">
            <v>9.0833333333333428</v>
          </cell>
          <cell r="F39">
            <v>9.0833333333333428</v>
          </cell>
        </row>
        <row r="40">
          <cell r="D40">
            <v>149.35</v>
          </cell>
          <cell r="E40">
            <v>149.35</v>
          </cell>
          <cell r="F40">
            <v>149.35</v>
          </cell>
        </row>
        <row r="41">
          <cell r="D41">
            <v>6.666666666666667</v>
          </cell>
          <cell r="E41">
            <v>6.666666666666667</v>
          </cell>
          <cell r="F41">
            <v>6.666666666666667</v>
          </cell>
        </row>
        <row r="42">
          <cell r="D42">
            <v>154.11500000000001</v>
          </cell>
          <cell r="E42">
            <v>154.11500000000001</v>
          </cell>
          <cell r="F42">
            <v>154.11500000000001</v>
          </cell>
        </row>
        <row r="43">
          <cell r="D43">
            <v>34.666666666666664</v>
          </cell>
          <cell r="E43">
            <v>34.666666666666664</v>
          </cell>
          <cell r="F43">
            <v>34.666666666666664</v>
          </cell>
        </row>
        <row r="44">
          <cell r="D44">
            <v>15.158333333333333</v>
          </cell>
          <cell r="E44">
            <v>15.158333333333333</v>
          </cell>
          <cell r="F44">
            <v>15.158333333333333</v>
          </cell>
        </row>
        <row r="45">
          <cell r="D45">
            <v>40.433666666666667</v>
          </cell>
          <cell r="E45">
            <v>40.433666666666667</v>
          </cell>
          <cell r="F45">
            <v>40.433666666666667</v>
          </cell>
        </row>
        <row r="46">
          <cell r="D46">
            <v>22.75</v>
          </cell>
          <cell r="E46">
            <v>22.75</v>
          </cell>
          <cell r="F46">
            <v>22.75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24.8</v>
          </cell>
          <cell r="E11">
            <v>25</v>
          </cell>
          <cell r="F11">
            <v>30.824999999999999</v>
          </cell>
        </row>
        <row r="12">
          <cell r="D12">
            <v>112.9</v>
          </cell>
          <cell r="E12">
            <v>126</v>
          </cell>
          <cell r="F12">
            <v>125.1</v>
          </cell>
        </row>
        <row r="13">
          <cell r="D13">
            <v>490.3</v>
          </cell>
          <cell r="E13">
            <v>672</v>
          </cell>
          <cell r="F13">
            <v>645.65800000000002</v>
          </cell>
        </row>
        <row r="14">
          <cell r="D14">
            <v>383</v>
          </cell>
          <cell r="E14">
            <v>462</v>
          </cell>
          <cell r="F14">
            <v>617</v>
          </cell>
        </row>
        <row r="15">
          <cell r="D15">
            <v>415.9</v>
          </cell>
          <cell r="E15">
            <v>434.834</v>
          </cell>
          <cell r="F15">
            <v>462.87400000000002</v>
          </cell>
        </row>
        <row r="16">
          <cell r="D16">
            <v>685</v>
          </cell>
          <cell r="E16">
            <v>126</v>
          </cell>
          <cell r="F16">
            <v>37</v>
          </cell>
        </row>
        <row r="17">
          <cell r="D17">
            <v>93</v>
          </cell>
          <cell r="E17">
            <v>104</v>
          </cell>
          <cell r="F17">
            <v>111</v>
          </cell>
        </row>
        <row r="18">
          <cell r="D18">
            <v>78</v>
          </cell>
          <cell r="E18">
            <v>24</v>
          </cell>
          <cell r="F18">
            <v>45</v>
          </cell>
        </row>
        <row r="19">
          <cell r="D19">
            <v>6085.7000000000007</v>
          </cell>
          <cell r="E19">
            <v>6791.8090000000002</v>
          </cell>
          <cell r="F19">
            <v>5946.4229999999998</v>
          </cell>
        </row>
        <row r="20">
          <cell r="D20">
            <v>217.40000000000003</v>
          </cell>
          <cell r="E20">
            <v>259.24</v>
          </cell>
          <cell r="F20">
            <v>728.97399999999993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-0.3333333333333357</v>
          </cell>
          <cell r="F22">
            <v>0</v>
          </cell>
        </row>
        <row r="23">
          <cell r="D23">
            <v>0</v>
          </cell>
          <cell r="E23">
            <v>-0.3333333333333286</v>
          </cell>
          <cell r="F23">
            <v>0</v>
          </cell>
        </row>
        <row r="24">
          <cell r="D24">
            <v>0</v>
          </cell>
          <cell r="E24">
            <v>0</v>
          </cell>
          <cell r="F24">
            <v>176</v>
          </cell>
        </row>
        <row r="28">
          <cell r="D28">
            <v>211.7</v>
          </cell>
          <cell r="E28">
            <v>212.00000000000003</v>
          </cell>
          <cell r="F28">
            <v>195.12000000000003</v>
          </cell>
        </row>
        <row r="29">
          <cell r="D29">
            <v>323.59999999999997</v>
          </cell>
          <cell r="E29">
            <v>382.74600000000004</v>
          </cell>
          <cell r="F29">
            <v>369</v>
          </cell>
        </row>
        <row r="30">
          <cell r="D30">
            <v>246.69000000000003</v>
          </cell>
          <cell r="E30">
            <v>315.625</v>
          </cell>
          <cell r="F30">
            <v>213.41200000000001</v>
          </cell>
        </row>
        <row r="31">
          <cell r="D31">
            <v>192</v>
          </cell>
          <cell r="E31">
            <v>195.38300000000001</v>
          </cell>
          <cell r="F31">
            <v>50.978000000000009</v>
          </cell>
        </row>
        <row r="32">
          <cell r="D32">
            <v>114.30000000000001</v>
          </cell>
          <cell r="E32">
            <v>174.42099999999999</v>
          </cell>
          <cell r="F32">
            <v>128.334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</row>
        <row r="35">
          <cell r="D35">
            <v>0</v>
          </cell>
          <cell r="E35">
            <v>0</v>
          </cell>
          <cell r="F35">
            <v>297</v>
          </cell>
        </row>
        <row r="39">
          <cell r="D39">
            <v>637.1</v>
          </cell>
          <cell r="E39">
            <v>637.1</v>
          </cell>
          <cell r="F39">
            <v>637.1</v>
          </cell>
        </row>
        <row r="40">
          <cell r="D40">
            <v>437.2</v>
          </cell>
          <cell r="E40">
            <v>437.2</v>
          </cell>
          <cell r="F40">
            <v>432.21799999999996</v>
          </cell>
        </row>
        <row r="41">
          <cell r="D41">
            <v>0</v>
          </cell>
          <cell r="E41">
            <v>74.599999999999994</v>
          </cell>
          <cell r="F41">
            <v>30.9</v>
          </cell>
        </row>
        <row r="42">
          <cell r="D42">
            <v>504.60000000000008</v>
          </cell>
          <cell r="E42">
            <v>482.35333333333347</v>
          </cell>
          <cell r="F42">
            <v>-597.00266666666664</v>
          </cell>
        </row>
        <row r="43">
          <cell r="D43">
            <v>0</v>
          </cell>
          <cell r="E43">
            <v>370.92899999999997</v>
          </cell>
          <cell r="F43">
            <v>119.971</v>
          </cell>
        </row>
        <row r="44">
          <cell r="D44">
            <v>91</v>
          </cell>
          <cell r="E44">
            <v>291.11500000000001</v>
          </cell>
          <cell r="F44">
            <v>81.884999999999991</v>
          </cell>
        </row>
        <row r="45">
          <cell r="D45">
            <v>153.30000000000001</v>
          </cell>
          <cell r="E45">
            <v>213.45399999999998</v>
          </cell>
          <cell r="F45">
            <v>111.00600000000001</v>
          </cell>
        </row>
        <row r="46">
          <cell r="D46">
            <v>207.3</v>
          </cell>
          <cell r="E46">
            <v>207.28399999999999</v>
          </cell>
          <cell r="F46">
            <v>-41</v>
          </cell>
        </row>
        <row r="47">
          <cell r="D47">
            <v>374.9</v>
          </cell>
          <cell r="E47">
            <v>-12.189</v>
          </cell>
          <cell r="F47">
            <v>-382.05400000000003</v>
          </cell>
        </row>
        <row r="48">
          <cell r="D48">
            <v>0</v>
          </cell>
          <cell r="E48">
            <v>0</v>
          </cell>
          <cell r="F48">
            <v>1291</v>
          </cell>
        </row>
      </sheetData>
      <sheetData sheetId="2"/>
      <sheetData sheetId="3"/>
      <sheetData sheetId="4">
        <row r="67">
          <cell r="D67">
            <v>398.9</v>
          </cell>
          <cell r="E67">
            <v>398.9</v>
          </cell>
          <cell r="F67">
            <v>398.9</v>
          </cell>
        </row>
      </sheetData>
      <sheetData sheetId="5"/>
      <sheetData sheetId="6">
        <row r="11">
          <cell r="D11">
            <v>0</v>
          </cell>
          <cell r="E11">
            <v>0</v>
          </cell>
          <cell r="F11">
            <v>0</v>
          </cell>
        </row>
        <row r="12">
          <cell r="D12">
            <v>32.200000000000003</v>
          </cell>
          <cell r="E12">
            <v>34.524999999999999</v>
          </cell>
          <cell r="F12">
            <v>33.700000000000003</v>
          </cell>
        </row>
        <row r="13">
          <cell r="D13">
            <v>14.8</v>
          </cell>
          <cell r="E13">
            <v>191.745</v>
          </cell>
          <cell r="F13">
            <v>80.7</v>
          </cell>
        </row>
        <row r="14">
          <cell r="D14">
            <v>51</v>
          </cell>
          <cell r="E14">
            <v>66</v>
          </cell>
          <cell r="F14">
            <v>74</v>
          </cell>
        </row>
        <row r="15">
          <cell r="D15">
            <v>91.8</v>
          </cell>
          <cell r="E15">
            <v>95.2</v>
          </cell>
          <cell r="F15">
            <v>111</v>
          </cell>
        </row>
        <row r="16">
          <cell r="D16">
            <v>31</v>
          </cell>
          <cell r="E16">
            <v>34</v>
          </cell>
          <cell r="F16">
            <v>31</v>
          </cell>
        </row>
        <row r="17">
          <cell r="D17">
            <v>13.9</v>
          </cell>
          <cell r="E17">
            <v>15</v>
          </cell>
          <cell r="F17">
            <v>16.5</v>
          </cell>
        </row>
        <row r="18">
          <cell r="D18">
            <v>50</v>
          </cell>
          <cell r="E18">
            <v>53</v>
          </cell>
          <cell r="F18">
            <v>53</v>
          </cell>
        </row>
        <row r="19">
          <cell r="D19">
            <v>1602.8</v>
          </cell>
          <cell r="E19">
            <v>1499.7619999999999</v>
          </cell>
          <cell r="F19">
            <v>1614.4</v>
          </cell>
        </row>
        <row r="20">
          <cell r="D20">
            <v>206.6</v>
          </cell>
          <cell r="E20">
            <v>211.01400000000001</v>
          </cell>
          <cell r="F20">
            <v>333.44800000000004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</row>
        <row r="23">
          <cell r="D23">
            <v>0</v>
          </cell>
          <cell r="E23">
            <v>0</v>
          </cell>
          <cell r="F23">
            <v>-361</v>
          </cell>
        </row>
        <row r="27">
          <cell r="D27">
            <v>117.60000000000001</v>
          </cell>
          <cell r="E27">
            <v>117.3</v>
          </cell>
          <cell r="F27">
            <v>108.39099999999999</v>
          </cell>
        </row>
        <row r="28">
          <cell r="D28">
            <v>90.9</v>
          </cell>
          <cell r="E28">
            <v>108.508</v>
          </cell>
          <cell r="F28">
            <v>120.197</v>
          </cell>
        </row>
        <row r="29">
          <cell r="D29">
            <v>58.281999999999996</v>
          </cell>
          <cell r="E29">
            <v>61.769999999999989</v>
          </cell>
          <cell r="F29">
            <v>51.981000000000002</v>
          </cell>
        </row>
        <row r="30">
          <cell r="D30">
            <v>40.1</v>
          </cell>
          <cell r="E30">
            <v>42.068999999999996</v>
          </cell>
          <cell r="F30">
            <v>7.9370000000000003</v>
          </cell>
        </row>
        <row r="31">
          <cell r="D31">
            <v>78.599999999999994</v>
          </cell>
          <cell r="E31">
            <v>71.803000000000011</v>
          </cell>
          <cell r="F31">
            <v>55.2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E34">
            <v>0</v>
          </cell>
          <cell r="F34">
            <v>84</v>
          </cell>
        </row>
        <row r="38">
          <cell r="D38">
            <v>186.71666666669992</v>
          </cell>
          <cell r="E38">
            <v>186.69999999999993</v>
          </cell>
          <cell r="F38">
            <v>186.19999999999993</v>
          </cell>
        </row>
        <row r="39">
          <cell r="D39">
            <v>91.4</v>
          </cell>
          <cell r="E39">
            <v>91.4</v>
          </cell>
          <cell r="F39">
            <v>90.4</v>
          </cell>
        </row>
        <row r="40">
          <cell r="D40">
            <v>0</v>
          </cell>
          <cell r="E40">
            <v>16.2</v>
          </cell>
          <cell r="F40">
            <v>8.1</v>
          </cell>
        </row>
        <row r="41">
          <cell r="D41">
            <v>257.3</v>
          </cell>
          <cell r="E41">
            <v>127.83666666666666</v>
          </cell>
          <cell r="F41">
            <v>-269.31633333333332</v>
          </cell>
        </row>
        <row r="42">
          <cell r="D42">
            <v>0</v>
          </cell>
          <cell r="E42">
            <v>0</v>
          </cell>
          <cell r="F42">
            <v>0</v>
          </cell>
        </row>
        <row r="43">
          <cell r="D43">
            <v>5.3999999999999986</v>
          </cell>
          <cell r="E43">
            <v>12.225000000000001</v>
          </cell>
          <cell r="F43">
            <v>8.077</v>
          </cell>
        </row>
        <row r="44">
          <cell r="D44">
            <v>33.659999999999997</v>
          </cell>
          <cell r="E44">
            <v>46.850999999999992</v>
          </cell>
          <cell r="F44">
            <v>24.398</v>
          </cell>
        </row>
        <row r="45">
          <cell r="D45">
            <v>43</v>
          </cell>
          <cell r="E45">
            <v>43</v>
          </cell>
          <cell r="F45">
            <v>-8.6</v>
          </cell>
        </row>
        <row r="46">
          <cell r="D46">
            <v>83.195999999999998</v>
          </cell>
          <cell r="E46">
            <v>-1.5509999999999999</v>
          </cell>
          <cell r="F46">
            <v>-75.070999999999984</v>
          </cell>
        </row>
        <row r="47">
          <cell r="D47">
            <v>0</v>
          </cell>
          <cell r="E47">
            <v>0</v>
          </cell>
          <cell r="F47">
            <v>525</v>
          </cell>
        </row>
      </sheetData>
      <sheetData sheetId="7"/>
      <sheetData sheetId="8"/>
      <sheetData sheetId="9">
        <row r="67">
          <cell r="D67">
            <v>83.2</v>
          </cell>
          <cell r="E67">
            <v>83.2</v>
          </cell>
          <cell r="F67">
            <v>83.2</v>
          </cell>
        </row>
      </sheetData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&amp;S Sum"/>
      <sheetName val="NNGSummary"/>
      <sheetName val="NNGDirect"/>
      <sheetName val="NNGGPG"/>
      <sheetName val="NNGMMF"/>
      <sheetName val="NNGDIR"/>
      <sheetName val="TW SUMMARY"/>
      <sheetName val="TWDirect"/>
      <sheetName val="TWGPG"/>
      <sheetName val="TWMMF"/>
      <sheetName val="TWDIR"/>
    </sheetNames>
    <sheetDataSet>
      <sheetData sheetId="0"/>
      <sheetData sheetId="1">
        <row r="11">
          <cell r="D11">
            <v>16.582000000000001</v>
          </cell>
          <cell r="E11">
            <v>22.441666666666666</v>
          </cell>
          <cell r="F11">
            <v>28.241666666666667</v>
          </cell>
        </row>
        <row r="12">
          <cell r="D12">
            <v>122.575</v>
          </cell>
          <cell r="E12">
            <v>117.892</v>
          </cell>
          <cell r="F12">
            <v>110.59</v>
          </cell>
        </row>
        <row r="13">
          <cell r="D13">
            <v>467.22899999999998</v>
          </cell>
          <cell r="E13">
            <v>509.625</v>
          </cell>
          <cell r="F13">
            <v>402.02499999999998</v>
          </cell>
        </row>
        <row r="14">
          <cell r="D14">
            <v>494.34100000000001</v>
          </cell>
          <cell r="E14">
            <v>776.56666666666661</v>
          </cell>
          <cell r="F14">
            <v>979.76666666666665</v>
          </cell>
        </row>
        <row r="15">
          <cell r="D15">
            <v>769.61199999999997</v>
          </cell>
          <cell r="E15">
            <v>210.465</v>
          </cell>
          <cell r="F15">
            <v>50.055</v>
          </cell>
        </row>
        <row r="16">
          <cell r="D16">
            <v>482.66699999999997</v>
          </cell>
          <cell r="E16">
            <v>435.58333333333331</v>
          </cell>
          <cell r="F16">
            <v>388.48333333333329</v>
          </cell>
        </row>
        <row r="17">
          <cell r="D17">
            <v>145.58600000000001</v>
          </cell>
          <cell r="E17">
            <v>106.70400000000001</v>
          </cell>
          <cell r="F17">
            <v>64.279000000000011</v>
          </cell>
        </row>
        <row r="18">
          <cell r="D18">
            <v>10.039999999999999</v>
          </cell>
          <cell r="E18">
            <v>5.8986666666666672</v>
          </cell>
          <cell r="F18">
            <v>1.7986666666666675</v>
          </cell>
        </row>
        <row r="19">
          <cell r="D19">
            <v>4884.8850000000002</v>
          </cell>
          <cell r="E19">
            <v>7330.7</v>
          </cell>
          <cell r="F19">
            <v>8743</v>
          </cell>
        </row>
        <row r="20">
          <cell r="D20">
            <v>420.93</v>
          </cell>
          <cell r="E20">
            <v>423.952</v>
          </cell>
          <cell r="F20">
            <v>167.95199999999997</v>
          </cell>
        </row>
        <row r="21">
          <cell r="D21">
            <v>0</v>
          </cell>
          <cell r="E21">
            <v>0</v>
          </cell>
          <cell r="F21">
            <v>-61.899999999999977</v>
          </cell>
        </row>
        <row r="25">
          <cell r="D25">
            <v>174.27149999999997</v>
          </cell>
          <cell r="E25">
            <v>173.85508333333331</v>
          </cell>
          <cell r="F25">
            <v>-26.144916666666688</v>
          </cell>
        </row>
        <row r="26">
          <cell r="D26">
            <v>334.91299999999995</v>
          </cell>
          <cell r="E26">
            <v>276.18641666666667</v>
          </cell>
          <cell r="F26">
            <v>218.18641666666667</v>
          </cell>
        </row>
        <row r="27">
          <cell r="D27">
            <v>91.824999999999932</v>
          </cell>
          <cell r="E27">
            <v>385.17499999999995</v>
          </cell>
          <cell r="F27">
            <v>679.02499999999998</v>
          </cell>
        </row>
        <row r="28">
          <cell r="D28">
            <v>215.03800000000001</v>
          </cell>
          <cell r="E28">
            <v>148.71291666666667</v>
          </cell>
          <cell r="F28">
            <v>94.926583333333326</v>
          </cell>
        </row>
        <row r="29">
          <cell r="D29">
            <v>262.82099999999997</v>
          </cell>
          <cell r="E29">
            <v>272.09083333333331</v>
          </cell>
          <cell r="F29">
            <v>222.09083333333331</v>
          </cell>
        </row>
        <row r="30">
          <cell r="D30">
            <v>0</v>
          </cell>
          <cell r="E30">
            <v>0</v>
          </cell>
          <cell r="F30">
            <v>0</v>
          </cell>
        </row>
        <row r="34">
          <cell r="D34">
            <v>535.36666666666679</v>
          </cell>
          <cell r="E34">
            <v>535.16666666666674</v>
          </cell>
          <cell r="F34">
            <v>535.16666666666674</v>
          </cell>
        </row>
        <row r="35">
          <cell r="D35">
            <v>15.403333333333308</v>
          </cell>
          <cell r="E35">
            <v>16.283333333333303</v>
          </cell>
          <cell r="F35">
            <v>16.283333333333303</v>
          </cell>
        </row>
        <row r="36">
          <cell r="D36">
            <v>442.04166666666669</v>
          </cell>
          <cell r="E36">
            <v>442.04166666666669</v>
          </cell>
          <cell r="F36">
            <v>442.04166666666669</v>
          </cell>
        </row>
        <row r="37">
          <cell r="D37">
            <v>33.316666666666663</v>
          </cell>
          <cell r="E37">
            <v>35.516666666666666</v>
          </cell>
          <cell r="F37">
            <v>37.516666666666666</v>
          </cell>
        </row>
        <row r="38">
          <cell r="D38">
            <v>862.88216666666665</v>
          </cell>
          <cell r="E38">
            <v>773.37974999999994</v>
          </cell>
          <cell r="F38">
            <v>389.57975000000005</v>
          </cell>
        </row>
        <row r="39">
          <cell r="D39">
            <v>87.48</v>
          </cell>
          <cell r="E39">
            <v>138.54166666666666</v>
          </cell>
          <cell r="F39">
            <v>189.74166666666667</v>
          </cell>
        </row>
        <row r="40">
          <cell r="D40">
            <v>77.207999999999998</v>
          </cell>
          <cell r="E40">
            <v>193.70833333333331</v>
          </cell>
          <cell r="F40">
            <v>-110.69166666666666</v>
          </cell>
        </row>
        <row r="41">
          <cell r="D41">
            <v>155.53500000000003</v>
          </cell>
          <cell r="E41">
            <v>194.52983333333333</v>
          </cell>
          <cell r="F41">
            <v>194.52983333333333</v>
          </cell>
        </row>
        <row r="42">
          <cell r="D42">
            <v>207</v>
          </cell>
          <cell r="E42">
            <v>207</v>
          </cell>
          <cell r="F42">
            <v>-289</v>
          </cell>
        </row>
        <row r="43">
          <cell r="D43">
            <v>0</v>
          </cell>
          <cell r="E43">
            <v>0</v>
          </cell>
          <cell r="F43">
            <v>0</v>
          </cell>
        </row>
      </sheetData>
      <sheetData sheetId="2"/>
      <sheetData sheetId="3"/>
      <sheetData sheetId="4"/>
      <sheetData sheetId="5"/>
      <sheetData sheetId="6">
        <row r="11">
          <cell r="D11">
            <v>8.8800000000000008</v>
          </cell>
          <cell r="E11">
            <v>7.083333333333333</v>
          </cell>
          <cell r="F11">
            <v>5.2833333333333332</v>
          </cell>
        </row>
        <row r="12">
          <cell r="D12">
            <v>36.756999999999998</v>
          </cell>
          <cell r="E12">
            <v>34.984999999999999</v>
          </cell>
          <cell r="F12">
            <v>34.473999999999997</v>
          </cell>
        </row>
        <row r="13">
          <cell r="D13">
            <v>-17.091000000000001</v>
          </cell>
          <cell r="E13">
            <v>110.27499999999999</v>
          </cell>
          <cell r="F13">
            <v>237.67500000000001</v>
          </cell>
        </row>
        <row r="14">
          <cell r="D14">
            <v>80.537999999999997</v>
          </cell>
          <cell r="E14">
            <v>70.441666666666663</v>
          </cell>
          <cell r="F14">
            <v>65.341666666666669</v>
          </cell>
        </row>
        <row r="15">
          <cell r="D15">
            <v>26.15</v>
          </cell>
          <cell r="E15">
            <v>32.594000000000001</v>
          </cell>
          <cell r="F15">
            <v>38.533999999999999</v>
          </cell>
        </row>
        <row r="16">
          <cell r="D16">
            <v>113.042</v>
          </cell>
          <cell r="E16">
            <v>138.41666666666666</v>
          </cell>
          <cell r="F16">
            <v>163.81666666666666</v>
          </cell>
        </row>
        <row r="17">
          <cell r="D17">
            <v>16.504999999999999</v>
          </cell>
          <cell r="E17">
            <v>19.563000000000002</v>
          </cell>
          <cell r="F17">
            <v>22.463000000000005</v>
          </cell>
        </row>
        <row r="18">
          <cell r="D18">
            <v>52.332000000000001</v>
          </cell>
          <cell r="E18">
            <v>87.635999999999996</v>
          </cell>
          <cell r="F18">
            <v>140.33699999999999</v>
          </cell>
        </row>
        <row r="19">
          <cell r="D19">
            <v>1315.299</v>
          </cell>
          <cell r="E19">
            <v>1669.5</v>
          </cell>
          <cell r="F19">
            <v>1958.3</v>
          </cell>
        </row>
        <row r="20">
          <cell r="D20">
            <v>228.76066666666665</v>
          </cell>
          <cell r="E20">
            <v>264.69766666666669</v>
          </cell>
          <cell r="F20">
            <v>342.56666666666666</v>
          </cell>
        </row>
        <row r="21">
          <cell r="D21">
            <v>0</v>
          </cell>
          <cell r="E21">
            <v>0</v>
          </cell>
          <cell r="F21">
            <v>0</v>
          </cell>
        </row>
        <row r="22">
          <cell r="D22">
            <v>0</v>
          </cell>
          <cell r="E22">
            <v>0</v>
          </cell>
          <cell r="F22">
            <v>20.943999999999999</v>
          </cell>
        </row>
        <row r="27">
          <cell r="D27">
            <v>97.021000000000001</v>
          </cell>
          <cell r="E27">
            <v>96.935999999999993</v>
          </cell>
          <cell r="F27">
            <v>96.935999999999993</v>
          </cell>
        </row>
        <row r="28">
          <cell r="D28">
            <v>112.68600000000001</v>
          </cell>
          <cell r="E28">
            <v>96.60566666666665</v>
          </cell>
          <cell r="F28">
            <v>80.60566666666665</v>
          </cell>
        </row>
        <row r="29">
          <cell r="D29">
            <v>35.073666666666668</v>
          </cell>
          <cell r="E29">
            <v>135.21666666666667</v>
          </cell>
          <cell r="F29">
            <v>235.68966666666665</v>
          </cell>
        </row>
        <row r="30">
          <cell r="D30">
            <v>34.706583333333327</v>
          </cell>
          <cell r="E30">
            <v>21.956583333333334</v>
          </cell>
          <cell r="F30">
            <v>28.356583333333333</v>
          </cell>
        </row>
        <row r="31">
          <cell r="D31">
            <v>132.02599999999998</v>
          </cell>
          <cell r="E31">
            <v>119.06141666666666</v>
          </cell>
          <cell r="F31">
            <v>107.06141666666666</v>
          </cell>
        </row>
        <row r="32">
          <cell r="D32">
            <v>0</v>
          </cell>
          <cell r="E32">
            <v>0</v>
          </cell>
          <cell r="F32">
            <v>0</v>
          </cell>
        </row>
        <row r="38">
          <cell r="D38">
            <v>158.70000000000005</v>
          </cell>
          <cell r="E38">
            <v>158.70000000000005</v>
          </cell>
          <cell r="F38">
            <v>158.70000000000005</v>
          </cell>
        </row>
        <row r="39">
          <cell r="D39">
            <v>1.311333333333323</v>
          </cell>
          <cell r="E39">
            <v>1.311333333333323</v>
          </cell>
          <cell r="F39">
            <v>1.311333333333323</v>
          </cell>
        </row>
        <row r="40">
          <cell r="D40">
            <v>149.35</v>
          </cell>
          <cell r="E40">
            <v>149.35</v>
          </cell>
          <cell r="F40">
            <v>149.35</v>
          </cell>
        </row>
        <row r="41">
          <cell r="D41">
            <v>6.666666666666667</v>
          </cell>
          <cell r="E41">
            <v>6.666666666666667</v>
          </cell>
          <cell r="F41">
            <v>6.666666666666667</v>
          </cell>
        </row>
        <row r="42">
          <cell r="D42">
            <v>236.75433333333334</v>
          </cell>
          <cell r="E42">
            <v>98.531666666666666</v>
          </cell>
          <cell r="F42">
            <v>119.83166666666668</v>
          </cell>
        </row>
        <row r="43">
          <cell r="D43">
            <v>17.916999999999998</v>
          </cell>
          <cell r="E43">
            <v>34.666666666666664</v>
          </cell>
          <cell r="F43">
            <v>51.666666666666664</v>
          </cell>
        </row>
        <row r="44">
          <cell r="D44">
            <v>14.904</v>
          </cell>
          <cell r="E44">
            <v>15.158333333333333</v>
          </cell>
          <cell r="F44">
            <v>15.158333333333333</v>
          </cell>
        </row>
        <row r="45">
          <cell r="D45">
            <v>44.683999999999997</v>
          </cell>
          <cell r="E45">
            <v>40.433666666666667</v>
          </cell>
          <cell r="F45">
            <v>40.433666666666667</v>
          </cell>
        </row>
        <row r="46">
          <cell r="D46">
            <v>43.029000000000003</v>
          </cell>
          <cell r="E46">
            <v>43.029000000000003</v>
          </cell>
          <cell r="F46">
            <v>-61</v>
          </cell>
        </row>
        <row r="47">
          <cell r="D47">
            <v>0</v>
          </cell>
          <cell r="E47">
            <v>0</v>
          </cell>
          <cell r="F47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5" workbookViewId="0">
      <selection activeCell="K18" sqref="K18"/>
    </sheetView>
  </sheetViews>
  <sheetFormatPr defaultColWidth="9.109375" defaultRowHeight="18"/>
  <cols>
    <col min="1" max="1" width="2.5546875" style="3" customWidth="1"/>
    <col min="2" max="2" width="3.6640625" style="3" customWidth="1"/>
    <col min="3" max="4" width="9.109375" style="3"/>
    <col min="5" max="5" width="11.44140625" style="3" customWidth="1"/>
    <col min="6" max="10" width="9.109375" style="3"/>
    <col min="11" max="11" width="23.44140625" style="3" bestFit="1" customWidth="1"/>
    <col min="12" max="16384" width="9.109375" style="3"/>
  </cols>
  <sheetData>
    <row r="1" spans="1:13" ht="34.79999999999999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7.6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7.6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7.6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30">
      <c r="A5" s="5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1" spans="1:13">
      <c r="B11"/>
    </row>
    <row r="13" spans="1:13">
      <c r="B13" s="6"/>
    </row>
    <row r="14" spans="1:13">
      <c r="E14" s="7"/>
    </row>
    <row r="16" spans="1:13">
      <c r="K16"/>
    </row>
    <row r="18" spans="11:11" ht="21">
      <c r="K18" s="8">
        <v>36594</v>
      </c>
    </row>
  </sheetData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topLeftCell="A24" workbookViewId="0">
      <selection activeCell="N47" sqref="N47"/>
    </sheetView>
  </sheetViews>
  <sheetFormatPr defaultColWidth="9.109375" defaultRowHeight="15"/>
  <cols>
    <col min="1" max="1" width="2.6640625" style="155" customWidth="1"/>
    <col min="2" max="4" width="10.6640625" style="155" customWidth="1"/>
    <col min="5" max="5" width="15.6640625" style="155" customWidth="1"/>
    <col min="6" max="6" width="10.6640625" style="155" customWidth="1"/>
    <col min="7" max="7" width="2.33203125" style="155" customWidth="1"/>
    <col min="8" max="8" width="13.6640625" style="155" customWidth="1"/>
    <col min="9" max="9" width="2.33203125" style="155" customWidth="1"/>
    <col min="10" max="10" width="13.6640625" style="155" customWidth="1"/>
    <col min="11" max="11" width="2.33203125" style="155" customWidth="1"/>
    <col min="12" max="12" width="13.6640625" style="155" customWidth="1"/>
    <col min="13" max="13" width="2.44140625" style="155" customWidth="1"/>
    <col min="14" max="14" width="13.6640625" style="155" customWidth="1"/>
    <col min="15" max="17" width="9.109375" style="155"/>
    <col min="18" max="16384" width="9.109375" style="13"/>
  </cols>
  <sheetData>
    <row r="1" spans="1:17" ht="15.6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3"/>
      <c r="P1" s="13"/>
      <c r="Q1" s="13"/>
    </row>
    <row r="2" spans="1:17" ht="15.6">
      <c r="A2" s="12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3"/>
      <c r="P2" s="13"/>
      <c r="Q2" s="13"/>
    </row>
    <row r="3" spans="1:17" ht="15.6">
      <c r="A3" s="148" t="s">
        <v>205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3"/>
      <c r="P3" s="13"/>
      <c r="Q3" s="13"/>
    </row>
    <row r="4" spans="1:17">
      <c r="A4" s="137" t="s">
        <v>4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"/>
      <c r="P4" s="13"/>
      <c r="Q4" s="13"/>
    </row>
    <row r="6" spans="1:17" s="151" customFormat="1" ht="15" customHeight="1">
      <c r="A6" s="149"/>
      <c r="B6" s="149"/>
      <c r="C6" s="149"/>
      <c r="D6" s="149"/>
      <c r="E6" s="149"/>
      <c r="F6" s="149"/>
      <c r="G6" s="149"/>
      <c r="H6" s="150" t="s">
        <v>206</v>
      </c>
      <c r="I6" s="150"/>
      <c r="J6" s="150"/>
      <c r="K6" s="150"/>
      <c r="L6" s="150"/>
      <c r="M6" s="150"/>
      <c r="N6" s="150"/>
    </row>
    <row r="7" spans="1:17" s="151" customFormat="1" ht="15" customHeight="1">
      <c r="A7" s="149"/>
      <c r="B7" s="149"/>
      <c r="C7" s="149"/>
      <c r="D7" s="149"/>
      <c r="E7" s="149"/>
      <c r="F7" s="149"/>
      <c r="G7" s="149"/>
      <c r="H7" s="149"/>
      <c r="I7" s="149"/>
      <c r="J7" s="152" t="s">
        <v>207</v>
      </c>
      <c r="K7" s="149"/>
      <c r="L7" s="152" t="s">
        <v>208</v>
      </c>
      <c r="M7" s="149"/>
      <c r="N7" s="152" t="s">
        <v>9</v>
      </c>
    </row>
    <row r="8" spans="1:17" s="151" customFormat="1" ht="15" customHeight="1">
      <c r="A8" s="149"/>
      <c r="B8" s="149"/>
      <c r="C8" s="149"/>
      <c r="D8" s="149"/>
      <c r="E8" s="149"/>
      <c r="F8" s="153" t="s">
        <v>209</v>
      </c>
      <c r="G8" s="149"/>
      <c r="H8" s="153" t="s">
        <v>210</v>
      </c>
      <c r="I8" s="149"/>
      <c r="J8" s="153" t="s">
        <v>211</v>
      </c>
      <c r="K8" s="149"/>
      <c r="L8" s="153" t="s">
        <v>212</v>
      </c>
      <c r="M8" s="149"/>
      <c r="N8" s="153" t="s">
        <v>213</v>
      </c>
    </row>
    <row r="9" spans="1:17" ht="15" customHeight="1">
      <c r="A9" s="154" t="s">
        <v>214</v>
      </c>
      <c r="O9" s="13"/>
      <c r="P9" s="13"/>
      <c r="Q9" s="13"/>
    </row>
    <row r="10" spans="1:17" ht="3.9" customHeight="1">
      <c r="O10" s="13"/>
      <c r="P10" s="13"/>
      <c r="Q10" s="13"/>
    </row>
    <row r="11" spans="1:17" ht="15" customHeight="1">
      <c r="B11" s="156" t="s">
        <v>215</v>
      </c>
      <c r="D11" s="13"/>
      <c r="F11" s="157" t="s">
        <v>216</v>
      </c>
      <c r="H11" s="158">
        <v>-1</v>
      </c>
      <c r="I11" s="158"/>
      <c r="J11" s="158">
        <f>H11*0.6053</f>
        <v>-0.60529999999999995</v>
      </c>
      <c r="K11" s="159"/>
      <c r="L11" s="158">
        <v>-0.6</v>
      </c>
      <c r="M11" s="158"/>
      <c r="N11" s="158">
        <v>-0.6</v>
      </c>
      <c r="O11" s="160"/>
      <c r="P11" s="160"/>
      <c r="Q11" s="160"/>
    </row>
    <row r="12" spans="1:17" ht="6" customHeight="1">
      <c r="B12" s="161"/>
      <c r="D12" s="13"/>
      <c r="F12" s="162"/>
      <c r="H12" s="158"/>
      <c r="I12" s="158"/>
      <c r="J12" s="158"/>
      <c r="K12" s="159"/>
      <c r="L12" s="158"/>
      <c r="M12" s="158"/>
      <c r="N12" s="158"/>
      <c r="O12" s="160"/>
      <c r="P12" s="160"/>
      <c r="Q12" s="160"/>
    </row>
    <row r="13" spans="1:17" ht="15" customHeight="1">
      <c r="B13" s="161" t="s">
        <v>217</v>
      </c>
      <c r="D13" s="13"/>
      <c r="F13" s="163" t="s">
        <v>218</v>
      </c>
      <c r="H13" s="158">
        <v>-0.2</v>
      </c>
      <c r="I13" s="158"/>
      <c r="J13" s="158">
        <f>H13*0.6053</f>
        <v>-0.12106</v>
      </c>
      <c r="K13" s="159"/>
      <c r="L13" s="158">
        <v>-0.1</v>
      </c>
      <c r="M13" s="158"/>
      <c r="N13" s="158">
        <v>-0.1</v>
      </c>
      <c r="O13" s="160"/>
      <c r="P13" s="160"/>
      <c r="Q13" s="160"/>
    </row>
    <row r="14" spans="1:17" ht="3.75" customHeight="1">
      <c r="B14" s="13"/>
      <c r="D14" s="13"/>
      <c r="F14" s="164"/>
      <c r="H14" s="163"/>
      <c r="I14" s="165"/>
      <c r="J14" s="163"/>
      <c r="K14" s="166"/>
      <c r="L14" s="163"/>
      <c r="M14" s="165"/>
      <c r="N14" s="163"/>
      <c r="O14" s="13"/>
      <c r="P14" s="13"/>
      <c r="Q14" s="13"/>
    </row>
    <row r="15" spans="1:17" ht="15" customHeight="1">
      <c r="B15" s="155" t="s">
        <v>219</v>
      </c>
      <c r="C15" s="161"/>
      <c r="F15" s="164"/>
      <c r="H15" s="163" t="s">
        <v>218</v>
      </c>
      <c r="I15" s="163"/>
      <c r="J15" s="163" t="s">
        <v>218</v>
      </c>
      <c r="K15" s="167"/>
      <c r="L15" s="163" t="s">
        <v>218</v>
      </c>
      <c r="M15" s="163"/>
      <c r="N15" s="163" t="s">
        <v>218</v>
      </c>
      <c r="O15" s="13"/>
      <c r="P15" s="13"/>
      <c r="Q15" s="13"/>
    </row>
    <row r="16" spans="1:17" ht="3.9" customHeight="1">
      <c r="F16" s="164"/>
      <c r="H16" s="163"/>
      <c r="I16" s="163"/>
      <c r="J16" s="163"/>
      <c r="K16" s="167"/>
      <c r="L16" s="163"/>
      <c r="M16" s="163"/>
      <c r="N16" s="163"/>
      <c r="O16" s="13"/>
      <c r="P16" s="13"/>
      <c r="Q16" s="13"/>
    </row>
    <row r="17" spans="1:17" ht="15" customHeight="1">
      <c r="B17" s="161" t="s">
        <v>220</v>
      </c>
      <c r="C17" s="13"/>
      <c r="D17" s="13"/>
      <c r="E17" s="13"/>
      <c r="F17" s="164"/>
      <c r="G17" s="13"/>
      <c r="H17" s="163" t="s">
        <v>218</v>
      </c>
      <c r="I17" s="163"/>
      <c r="J17" s="163" t="s">
        <v>218</v>
      </c>
      <c r="K17" s="167"/>
      <c r="L17" s="163" t="s">
        <v>218</v>
      </c>
      <c r="M17" s="163"/>
      <c r="N17" s="163" t="s">
        <v>218</v>
      </c>
      <c r="O17" s="13"/>
      <c r="P17" s="13"/>
      <c r="Q17" s="13"/>
    </row>
    <row r="18" spans="1:17" ht="3.9" customHeight="1">
      <c r="B18" s="161"/>
      <c r="C18" s="13"/>
      <c r="D18" s="13"/>
      <c r="E18" s="13"/>
      <c r="F18" s="164"/>
      <c r="G18" s="13"/>
      <c r="H18" s="163"/>
      <c r="I18" s="163"/>
      <c r="J18" s="163"/>
      <c r="K18" s="167"/>
      <c r="L18" s="163"/>
      <c r="M18" s="163"/>
      <c r="N18" s="163"/>
      <c r="O18" s="13"/>
      <c r="P18" s="13"/>
      <c r="Q18" s="13"/>
    </row>
    <row r="19" spans="1:17" ht="15" customHeight="1">
      <c r="B19" s="155" t="s">
        <v>221</v>
      </c>
      <c r="C19" s="13"/>
      <c r="D19" s="13"/>
      <c r="E19" s="13"/>
      <c r="F19" s="157" t="s">
        <v>222</v>
      </c>
      <c r="G19" s="13"/>
      <c r="H19" s="163" t="s">
        <v>223</v>
      </c>
      <c r="I19" s="163"/>
      <c r="J19" s="163" t="s">
        <v>223</v>
      </c>
      <c r="K19" s="167"/>
      <c r="L19" s="163" t="s">
        <v>224</v>
      </c>
      <c r="M19" s="163"/>
      <c r="N19" s="163" t="s">
        <v>224</v>
      </c>
      <c r="O19" s="13"/>
      <c r="P19" s="13"/>
      <c r="Q19" s="13"/>
    </row>
    <row r="20" spans="1:17" ht="3.9" customHeight="1">
      <c r="B20" s="161"/>
      <c r="C20" s="13"/>
      <c r="D20" s="13"/>
      <c r="E20" s="13"/>
      <c r="F20" s="164"/>
      <c r="G20" s="13"/>
      <c r="H20" s="163"/>
      <c r="I20" s="163"/>
      <c r="J20" s="163"/>
      <c r="K20" s="167"/>
      <c r="L20" s="163"/>
      <c r="M20" s="163"/>
      <c r="N20" s="163"/>
      <c r="O20" s="13"/>
      <c r="P20" s="13"/>
      <c r="Q20" s="13"/>
    </row>
    <row r="21" spans="1:17" ht="15" customHeight="1">
      <c r="B21" s="156" t="s">
        <v>225</v>
      </c>
      <c r="C21" s="13"/>
      <c r="D21" s="13"/>
      <c r="E21" s="13"/>
      <c r="F21" s="164" t="s">
        <v>226</v>
      </c>
      <c r="G21" s="13"/>
      <c r="H21" s="163" t="s">
        <v>227</v>
      </c>
      <c r="I21" s="163"/>
      <c r="J21" s="163" t="s">
        <v>228</v>
      </c>
      <c r="K21" s="167"/>
      <c r="L21" s="163" t="s">
        <v>228</v>
      </c>
      <c r="M21" s="163"/>
      <c r="N21" s="163" t="s">
        <v>229</v>
      </c>
      <c r="O21" s="13"/>
      <c r="P21" s="13"/>
      <c r="Q21" s="13"/>
    </row>
    <row r="22" spans="1:17" ht="4.5" customHeight="1">
      <c r="B22" s="156"/>
      <c r="C22" s="13"/>
      <c r="D22" s="13"/>
      <c r="E22" s="13"/>
      <c r="F22" s="164"/>
      <c r="G22" s="13"/>
      <c r="H22" s="163"/>
      <c r="I22" s="163"/>
      <c r="J22" s="163"/>
      <c r="K22" s="167"/>
      <c r="L22" s="163"/>
      <c r="M22" s="163"/>
      <c r="N22" s="163"/>
      <c r="O22" s="13"/>
      <c r="P22" s="13"/>
      <c r="Q22" s="13"/>
    </row>
    <row r="23" spans="1:17" ht="15" customHeight="1">
      <c r="B23" s="161" t="s">
        <v>230</v>
      </c>
      <c r="C23" s="13"/>
      <c r="D23" s="13"/>
      <c r="E23" s="13"/>
      <c r="F23" s="164" t="s">
        <v>226</v>
      </c>
      <c r="G23" s="13"/>
      <c r="H23" s="163" t="s">
        <v>223</v>
      </c>
      <c r="I23" s="163"/>
      <c r="J23" s="163" t="s">
        <v>223</v>
      </c>
      <c r="K23" s="167"/>
      <c r="L23" s="158">
        <v>-2</v>
      </c>
      <c r="M23" s="163"/>
      <c r="N23" s="163" t="s">
        <v>231</v>
      </c>
      <c r="O23" s="13"/>
      <c r="P23" s="13"/>
      <c r="Q23" s="13"/>
    </row>
    <row r="24" spans="1:17" ht="15" customHeight="1">
      <c r="B24" s="161"/>
      <c r="C24" s="13"/>
      <c r="D24" s="13"/>
      <c r="E24" s="13"/>
      <c r="F24" s="164"/>
      <c r="G24" s="13"/>
      <c r="H24" s="163"/>
      <c r="I24" s="163"/>
      <c r="J24" s="163"/>
      <c r="K24" s="167"/>
      <c r="L24" s="168"/>
      <c r="M24" s="163"/>
      <c r="N24" s="168"/>
      <c r="O24" s="13"/>
      <c r="P24" s="13"/>
      <c r="Q24" s="13"/>
    </row>
    <row r="25" spans="1:17" ht="15" customHeight="1">
      <c r="F25" s="164"/>
      <c r="H25" s="163"/>
      <c r="I25" s="163"/>
      <c r="J25" s="163"/>
      <c r="K25" s="167"/>
      <c r="L25" s="167"/>
      <c r="M25" s="167"/>
      <c r="N25" s="167"/>
      <c r="O25" s="13"/>
      <c r="P25" s="13"/>
      <c r="Q25" s="13"/>
    </row>
    <row r="26" spans="1:17" ht="15" customHeight="1">
      <c r="A26" s="154" t="s">
        <v>232</v>
      </c>
      <c r="F26" s="164"/>
      <c r="H26" s="163"/>
      <c r="I26" s="163"/>
      <c r="J26" s="163"/>
      <c r="K26" s="167"/>
      <c r="L26" s="167"/>
      <c r="M26" s="167"/>
      <c r="N26" s="167"/>
      <c r="O26" s="13"/>
      <c r="P26" s="13"/>
      <c r="Q26" s="13"/>
    </row>
    <row r="27" spans="1:17" ht="3.9" customHeight="1">
      <c r="F27" s="164"/>
      <c r="H27" s="163"/>
      <c r="I27" s="163"/>
      <c r="J27" s="163"/>
      <c r="K27" s="167"/>
      <c r="L27" s="167"/>
      <c r="M27" s="167"/>
      <c r="N27" s="167"/>
      <c r="O27" s="13"/>
      <c r="P27" s="13"/>
      <c r="Q27" s="13"/>
    </row>
    <row r="28" spans="1:17" ht="15" customHeight="1">
      <c r="B28" s="156" t="s">
        <v>233</v>
      </c>
      <c r="C28" s="13"/>
      <c r="F28" s="164"/>
      <c r="H28" s="158" t="s">
        <v>218</v>
      </c>
      <c r="I28" s="158"/>
      <c r="J28" s="158" t="s">
        <v>218</v>
      </c>
      <c r="K28" s="159"/>
      <c r="L28" s="158" t="s">
        <v>218</v>
      </c>
      <c r="M28" s="158"/>
      <c r="N28" s="158" t="s">
        <v>218</v>
      </c>
      <c r="O28" s="13"/>
      <c r="P28" s="13"/>
      <c r="Q28" s="13"/>
    </row>
    <row r="29" spans="1:17" ht="3.9" customHeight="1">
      <c r="F29" s="164"/>
      <c r="H29" s="169"/>
      <c r="I29" s="169"/>
      <c r="J29" s="169"/>
      <c r="K29" s="169"/>
      <c r="L29" s="169"/>
      <c r="M29" s="169"/>
      <c r="N29" s="169"/>
      <c r="O29" s="13"/>
      <c r="P29" s="13"/>
      <c r="Q29" s="13"/>
    </row>
    <row r="30" spans="1:17" ht="15" customHeight="1">
      <c r="B30" s="155" t="s">
        <v>219</v>
      </c>
      <c r="F30" s="164"/>
      <c r="H30" s="158" t="s">
        <v>218</v>
      </c>
      <c r="I30" s="158"/>
      <c r="J30" s="158" t="s">
        <v>218</v>
      </c>
      <c r="K30" s="159"/>
      <c r="L30" s="158" t="s">
        <v>218</v>
      </c>
      <c r="M30" s="158"/>
      <c r="N30" s="158" t="s">
        <v>218</v>
      </c>
      <c r="O30" s="13"/>
      <c r="P30" s="13"/>
      <c r="Q30" s="13"/>
    </row>
    <row r="31" spans="1:17" ht="3.9" customHeight="1">
      <c r="B31" s="13"/>
      <c r="C31" s="13"/>
      <c r="D31" s="13"/>
      <c r="E31" s="13"/>
      <c r="F31" s="16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" customHeight="1">
      <c r="B32" s="13" t="s">
        <v>234</v>
      </c>
      <c r="C32" s="13"/>
      <c r="D32" s="13"/>
      <c r="E32" s="13"/>
      <c r="F32" s="157" t="s">
        <v>222</v>
      </c>
      <c r="G32" s="13"/>
      <c r="H32" s="159">
        <v>-0.5</v>
      </c>
      <c r="I32" s="160"/>
      <c r="J32" s="159">
        <v>-0.3</v>
      </c>
      <c r="K32" s="159"/>
      <c r="L32" s="159">
        <v>-0.3</v>
      </c>
      <c r="M32" s="159"/>
      <c r="N32" s="159">
        <v>-0.3</v>
      </c>
      <c r="O32" s="13"/>
      <c r="P32" s="13"/>
      <c r="Q32" s="13"/>
    </row>
    <row r="33" spans="1:17" ht="3.9" customHeight="1">
      <c r="B33" s="13"/>
      <c r="C33" s="13"/>
      <c r="D33" s="13"/>
      <c r="E33" s="13"/>
      <c r="F33" s="16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ht="15" customHeight="1">
      <c r="B34" s="161" t="s">
        <v>220</v>
      </c>
      <c r="F34" s="164"/>
      <c r="H34" s="163" t="s">
        <v>218</v>
      </c>
      <c r="I34" s="163"/>
      <c r="J34" s="163" t="s">
        <v>218</v>
      </c>
      <c r="K34" s="167"/>
      <c r="L34" s="163" t="s">
        <v>218</v>
      </c>
      <c r="M34" s="163"/>
      <c r="N34" s="163" t="s">
        <v>218</v>
      </c>
      <c r="O34" s="13"/>
      <c r="P34" s="13"/>
      <c r="Q34" s="13"/>
    </row>
    <row r="35" spans="1:17" ht="3.9" customHeight="1">
      <c r="B35" s="161"/>
      <c r="F35" s="164"/>
      <c r="H35" s="163"/>
      <c r="I35" s="163"/>
      <c r="J35" s="163"/>
      <c r="K35" s="167"/>
      <c r="L35" s="163"/>
      <c r="M35" s="163"/>
      <c r="N35" s="163"/>
      <c r="O35" s="13"/>
      <c r="P35" s="13"/>
      <c r="Q35" s="13"/>
    </row>
    <row r="36" spans="1:17" ht="15" customHeight="1">
      <c r="B36" s="156" t="s">
        <v>225</v>
      </c>
      <c r="F36" s="164" t="s">
        <v>226</v>
      </c>
      <c r="H36" s="163" t="s">
        <v>227</v>
      </c>
      <c r="I36" s="163"/>
      <c r="J36" s="163" t="s">
        <v>227</v>
      </c>
      <c r="K36" s="167"/>
      <c r="L36" s="163" t="s">
        <v>227</v>
      </c>
      <c r="M36" s="163"/>
      <c r="N36" s="170" t="s">
        <v>235</v>
      </c>
      <c r="O36" s="13"/>
      <c r="P36" s="13"/>
      <c r="Q36" s="13"/>
    </row>
    <row r="37" spans="1:17" ht="12.75" customHeight="1">
      <c r="B37" s="161"/>
      <c r="F37" s="164"/>
      <c r="H37" s="163"/>
      <c r="I37" s="163"/>
      <c r="J37" s="163"/>
      <c r="K37" s="167"/>
      <c r="L37" s="163"/>
      <c r="M37" s="163"/>
      <c r="N37" s="163"/>
      <c r="O37" s="13"/>
      <c r="P37" s="13"/>
      <c r="Q37" s="13"/>
    </row>
    <row r="38" spans="1:17" ht="12.75" customHeight="1">
      <c r="B38" s="161"/>
      <c r="F38" s="164"/>
      <c r="H38" s="163"/>
      <c r="I38" s="163"/>
      <c r="J38" s="163"/>
      <c r="K38" s="167"/>
      <c r="L38" s="163"/>
      <c r="M38" s="163"/>
      <c r="N38" s="163"/>
      <c r="O38" s="13"/>
      <c r="P38" s="13"/>
      <c r="Q38" s="13"/>
    </row>
    <row r="39" spans="1:17" ht="12.75" customHeight="1">
      <c r="B39" s="161"/>
      <c r="F39" s="164"/>
      <c r="H39" s="163"/>
      <c r="I39" s="163"/>
      <c r="J39" s="163"/>
      <c r="K39" s="167"/>
      <c r="L39" s="163"/>
      <c r="M39" s="163"/>
      <c r="N39" s="163"/>
      <c r="O39" s="13"/>
      <c r="P39" s="13"/>
      <c r="Q39" s="13"/>
    </row>
    <row r="40" spans="1:17" ht="12.75" customHeight="1">
      <c r="B40" s="161"/>
      <c r="F40" s="164"/>
      <c r="H40" s="163"/>
      <c r="I40" s="163"/>
      <c r="J40" s="163"/>
      <c r="K40" s="167"/>
      <c r="L40" s="163"/>
      <c r="M40" s="163"/>
      <c r="N40" s="163"/>
      <c r="O40" s="13"/>
      <c r="P40" s="13"/>
      <c r="Q40" s="13"/>
    </row>
    <row r="41" spans="1:17" ht="12.75" customHeight="1">
      <c r="B41" s="161"/>
      <c r="F41" s="164"/>
      <c r="H41" s="163"/>
      <c r="I41" s="163"/>
      <c r="J41" s="163"/>
      <c r="K41" s="167"/>
      <c r="L41" s="163"/>
      <c r="M41" s="163"/>
      <c r="N41" s="163"/>
      <c r="O41" s="13"/>
      <c r="P41" s="13"/>
      <c r="Q41" s="13"/>
    </row>
    <row r="42" spans="1:17" ht="12.75" customHeight="1">
      <c r="B42" s="161"/>
      <c r="F42" s="164"/>
      <c r="H42" s="163"/>
      <c r="I42" s="163"/>
      <c r="J42" s="163"/>
      <c r="K42" s="167"/>
      <c r="L42" s="163"/>
      <c r="M42" s="163"/>
      <c r="N42" s="163"/>
      <c r="O42" s="13"/>
      <c r="P42" s="13"/>
      <c r="Q42" s="13"/>
    </row>
    <row r="43" spans="1:17" ht="12.75" customHeight="1">
      <c r="B43" s="161"/>
      <c r="F43" s="164"/>
      <c r="H43" s="163"/>
      <c r="I43" s="163"/>
      <c r="J43" s="163"/>
      <c r="K43" s="167"/>
      <c r="L43" s="163"/>
      <c r="M43" s="163"/>
      <c r="N43" s="163"/>
      <c r="O43" s="13"/>
      <c r="P43" s="13"/>
      <c r="Q43" s="13"/>
    </row>
    <row r="44" spans="1:17" ht="12.75" customHeight="1">
      <c r="B44" s="161"/>
      <c r="F44" s="164"/>
      <c r="H44" s="163"/>
      <c r="I44" s="163"/>
      <c r="J44" s="163"/>
      <c r="K44" s="167"/>
      <c r="L44" s="163"/>
      <c r="M44" s="163"/>
      <c r="N44" s="163"/>
      <c r="O44" s="13"/>
      <c r="P44" s="13"/>
      <c r="Q44" s="13"/>
    </row>
    <row r="45" spans="1:17" ht="12.75" customHeight="1">
      <c r="F45" s="164"/>
      <c r="O45" s="13"/>
      <c r="P45" s="13"/>
      <c r="Q45" s="13"/>
    </row>
    <row r="46" spans="1:17" ht="12.75" customHeight="1">
      <c r="A46" s="171"/>
      <c r="B46" s="171"/>
      <c r="C46" s="171"/>
      <c r="D46" s="171"/>
      <c r="E46" s="171"/>
      <c r="F46" s="172"/>
      <c r="G46" s="171"/>
      <c r="H46" s="171"/>
      <c r="I46" s="171"/>
      <c r="J46" s="171"/>
      <c r="K46" s="171"/>
      <c r="L46" s="171"/>
      <c r="M46" s="171"/>
      <c r="N46" s="173"/>
      <c r="O46" s="13"/>
      <c r="P46" s="13"/>
      <c r="Q46" s="13"/>
    </row>
    <row r="47" spans="1:17" ht="12.75" customHeight="1">
      <c r="A47" s="174"/>
      <c r="B47" s="171"/>
      <c r="C47" s="171"/>
      <c r="D47" s="171"/>
      <c r="E47" s="171"/>
      <c r="F47" s="172"/>
      <c r="G47" s="171"/>
      <c r="H47" s="171"/>
      <c r="I47" s="171"/>
      <c r="J47" s="171"/>
      <c r="K47" s="171"/>
      <c r="L47" s="171"/>
      <c r="M47" s="171"/>
      <c r="N47" s="175"/>
      <c r="O47" s="13"/>
      <c r="P47" s="13"/>
      <c r="Q47" s="13"/>
    </row>
    <row r="48" spans="1:17">
      <c r="F48" s="164"/>
      <c r="O48" s="13"/>
      <c r="P48" s="13"/>
      <c r="Q48" s="13"/>
    </row>
    <row r="49" spans="2:17">
      <c r="F49" s="164"/>
    </row>
    <row r="50" spans="2:17">
      <c r="B50" s="156"/>
      <c r="F50" s="164"/>
      <c r="H50" s="163"/>
      <c r="I50" s="163"/>
      <c r="J50" s="163"/>
      <c r="K50" s="167"/>
      <c r="L50" s="163"/>
      <c r="M50" s="167"/>
      <c r="N50" s="163"/>
      <c r="O50" s="13"/>
      <c r="P50" s="13"/>
      <c r="Q50" s="13"/>
    </row>
    <row r="51" spans="2:17">
      <c r="F51" s="164"/>
    </row>
    <row r="52" spans="2:17">
      <c r="B52" s="156"/>
      <c r="F52" s="164"/>
      <c r="H52" s="163"/>
      <c r="I52" s="163"/>
      <c r="J52" s="163"/>
      <c r="K52" s="167"/>
      <c r="L52" s="163"/>
      <c r="M52" s="167"/>
      <c r="N52" s="163"/>
      <c r="O52" s="13"/>
      <c r="P52" s="13"/>
      <c r="Q52" s="13"/>
    </row>
    <row r="53" spans="2:17">
      <c r="O53" s="13"/>
      <c r="P53" s="13"/>
      <c r="Q53" s="13"/>
    </row>
  </sheetData>
  <printOptions horizontalCentered="1"/>
  <pageMargins left="0.5" right="0.5" top="0.5" bottom="0.25" header="0.5" footer="0.5"/>
  <pageSetup scale="98" orientation="landscape" r:id="rId1"/>
  <headerFooter alignWithMargins="0">
    <oddFooter>&amp;RPage 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9"/>
  <sheetViews>
    <sheetView view="pageBreakPreview" zoomScale="60" zoomScaleNormal="100" workbookViewId="0">
      <selection activeCell="E19" sqref="E19"/>
    </sheetView>
  </sheetViews>
  <sheetFormatPr defaultRowHeight="13.2"/>
  <sheetData>
    <row r="19" spans="5:5" ht="27.6">
      <c r="E19" s="176" t="s">
        <v>2</v>
      </c>
    </row>
  </sheetData>
  <pageMargins left="0.75" right="0.75" top="1" bottom="1" header="0.5" footer="0.5"/>
  <pageSetup orientation="landscape" r:id="rId1"/>
  <headerFooter alignWithMargins="0">
    <oddFooter>&amp;RPage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zoomScale="60" zoomScaleNormal="100" workbookViewId="0">
      <selection activeCell="A27" sqref="A27"/>
    </sheetView>
  </sheetViews>
  <sheetFormatPr defaultRowHeight="13.2"/>
  <cols>
    <col min="1" max="1" width="16.33203125" customWidth="1"/>
    <col min="2" max="3" width="15.6640625" customWidth="1"/>
    <col min="4" max="4" width="21.33203125" customWidth="1"/>
    <col min="5" max="5" width="5.6640625" customWidth="1"/>
    <col min="6" max="6" width="9.6640625" customWidth="1"/>
    <col min="7" max="7" width="1.6640625" customWidth="1"/>
    <col min="8" max="8" width="9.6640625" customWidth="1"/>
    <col min="9" max="9" width="1.6640625" customWidth="1"/>
    <col min="10" max="10" width="9.6640625" customWidth="1"/>
    <col min="11" max="11" width="1.6640625" customWidth="1"/>
    <col min="12" max="12" width="9.6640625" customWidth="1"/>
    <col min="13" max="13" width="1.6640625" customWidth="1"/>
    <col min="14" max="14" width="9.33203125" customWidth="1"/>
  </cols>
  <sheetData>
    <row r="1" spans="1:14" ht="17.399999999999999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7.399999999999999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13" customFormat="1" ht="15.6">
      <c r="A3" s="11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5" spans="1:14" ht="13.8">
      <c r="F5" s="14" t="s">
        <v>5</v>
      </c>
      <c r="G5" s="15"/>
      <c r="H5" s="14" t="s">
        <v>6</v>
      </c>
      <c r="I5" s="15"/>
      <c r="J5" s="14" t="s">
        <v>7</v>
      </c>
      <c r="K5" s="15"/>
      <c r="L5" s="14" t="s">
        <v>8</v>
      </c>
      <c r="M5" s="15"/>
      <c r="N5" s="14" t="s">
        <v>9</v>
      </c>
    </row>
    <row r="6" spans="1:14" ht="6" customHeight="1" thickBot="1">
      <c r="F6" s="16"/>
      <c r="G6" s="15"/>
      <c r="H6" s="16"/>
      <c r="I6" s="15"/>
      <c r="J6" s="16"/>
      <c r="K6" s="15"/>
      <c r="L6" s="16"/>
      <c r="M6" s="15"/>
      <c r="N6" s="16"/>
    </row>
    <row r="7" spans="1:14" ht="14.4" thickBot="1">
      <c r="A7" s="17" t="s">
        <v>10</v>
      </c>
      <c r="B7" s="18"/>
      <c r="C7" s="18"/>
      <c r="D7" s="18"/>
      <c r="E7" s="18"/>
      <c r="F7" s="19">
        <v>96.9</v>
      </c>
      <c r="G7" s="19"/>
      <c r="H7" s="19">
        <v>11.9</v>
      </c>
      <c r="I7" s="19"/>
      <c r="J7" s="19">
        <v>28.5</v>
      </c>
      <c r="K7" s="19"/>
      <c r="L7" s="19">
        <v>77.7</v>
      </c>
      <c r="M7" s="20"/>
      <c r="N7" s="21">
        <f>SUM(F7:M7)</f>
        <v>215</v>
      </c>
    </row>
    <row r="8" spans="1:14" ht="6" customHeight="1">
      <c r="F8" s="22"/>
      <c r="G8" s="22"/>
      <c r="H8" s="22"/>
      <c r="I8" s="22"/>
      <c r="J8" s="22"/>
      <c r="K8" s="22"/>
      <c r="L8" s="22"/>
      <c r="M8" s="23"/>
      <c r="N8" s="23"/>
    </row>
    <row r="9" spans="1:14" ht="12.75" customHeight="1">
      <c r="F9" s="24"/>
      <c r="G9" s="24"/>
      <c r="H9" s="24"/>
      <c r="I9" s="24"/>
      <c r="J9" s="24"/>
      <c r="K9" s="24"/>
      <c r="L9" s="24"/>
      <c r="M9" s="25"/>
      <c r="N9" s="23"/>
    </row>
    <row r="10" spans="1:14" ht="12.75" customHeight="1">
      <c r="A10" s="26" t="s">
        <v>11</v>
      </c>
      <c r="F10" s="24">
        <v>2.5</v>
      </c>
      <c r="G10" s="24"/>
      <c r="H10" s="24"/>
      <c r="I10" s="24"/>
      <c r="J10" s="24"/>
      <c r="K10" s="24"/>
      <c r="L10" s="24">
        <v>-1.4</v>
      </c>
      <c r="M10" s="25"/>
      <c r="N10" s="23">
        <f>SUM(F10:L10)</f>
        <v>1.1000000000000001</v>
      </c>
    </row>
    <row r="11" spans="1:14" ht="6" customHeight="1">
      <c r="A11" s="27"/>
      <c r="F11" s="24"/>
      <c r="G11" s="24"/>
      <c r="H11" s="24"/>
      <c r="I11" s="24"/>
      <c r="J11" s="24"/>
      <c r="K11" s="24"/>
      <c r="L11" s="24"/>
      <c r="M11" s="25"/>
      <c r="N11" s="23"/>
    </row>
    <row r="12" spans="1:14" ht="13.8">
      <c r="A12" s="26" t="s">
        <v>12</v>
      </c>
      <c r="F12" s="24">
        <f>1.6-0.6+0.9-0.1+3-0.3</f>
        <v>4.5</v>
      </c>
      <c r="G12" s="24"/>
      <c r="H12" s="24">
        <f>0.3+0.8-0.9-0.2</f>
        <v>0</v>
      </c>
      <c r="I12" s="24"/>
      <c r="J12" s="24">
        <f>-0.1-0.4</f>
        <v>-0.5</v>
      </c>
      <c r="K12" s="24"/>
      <c r="L12" s="24">
        <f>-0.2-3</f>
        <v>-3.2</v>
      </c>
      <c r="M12" s="25"/>
      <c r="N12" s="23">
        <f>SUM(F12:L12)</f>
        <v>0.79999999999999982</v>
      </c>
    </row>
    <row r="13" spans="1:14" ht="6" customHeight="1">
      <c r="A13" s="26"/>
      <c r="F13" s="24"/>
      <c r="G13" s="24"/>
      <c r="H13" s="24"/>
      <c r="I13" s="24"/>
      <c r="J13" s="24"/>
      <c r="K13" s="24"/>
      <c r="L13" s="24"/>
      <c r="M13" s="25"/>
      <c r="N13" s="23"/>
    </row>
    <row r="14" spans="1:14" ht="13.5" customHeight="1">
      <c r="A14" s="26" t="s">
        <v>13</v>
      </c>
      <c r="F14" s="24"/>
      <c r="G14" s="24"/>
      <c r="H14" s="24">
        <v>11.4</v>
      </c>
      <c r="I14" s="24"/>
      <c r="J14" s="24"/>
      <c r="K14" s="24"/>
      <c r="L14" s="24"/>
      <c r="M14" s="25"/>
      <c r="N14" s="23">
        <f t="shared" ref="N14:N35" si="0">SUM(F14:L14)</f>
        <v>11.4</v>
      </c>
    </row>
    <row r="15" spans="1:14" ht="13.5" customHeight="1">
      <c r="A15" s="26" t="s">
        <v>14</v>
      </c>
      <c r="F15" s="24"/>
      <c r="G15" s="24"/>
      <c r="H15" s="24"/>
      <c r="I15" s="24"/>
      <c r="J15" s="24">
        <v>-0.6</v>
      </c>
      <c r="K15" s="24"/>
      <c r="L15" s="24">
        <v>-0.6</v>
      </c>
      <c r="M15" s="25"/>
      <c r="N15" s="23">
        <f t="shared" si="0"/>
        <v>-1.2</v>
      </c>
    </row>
    <row r="16" spans="1:14" ht="13.5" customHeight="1">
      <c r="A16" s="26" t="s">
        <v>15</v>
      </c>
      <c r="F16" s="24"/>
      <c r="G16" s="24"/>
      <c r="H16" s="24"/>
      <c r="I16" s="24"/>
      <c r="J16" s="24">
        <v>-5</v>
      </c>
      <c r="K16" s="24"/>
      <c r="L16" s="24"/>
      <c r="M16" s="25"/>
      <c r="N16" s="23">
        <f t="shared" si="0"/>
        <v>-5</v>
      </c>
    </row>
    <row r="17" spans="1:14" ht="13.8">
      <c r="A17" s="27" t="s">
        <v>16</v>
      </c>
      <c r="F17" s="24">
        <v>0.2</v>
      </c>
      <c r="G17" s="24"/>
      <c r="H17" s="24"/>
      <c r="I17" s="24"/>
      <c r="J17" s="24"/>
      <c r="K17" s="24"/>
      <c r="L17" s="24"/>
      <c r="M17" s="25"/>
      <c r="N17" s="23">
        <f t="shared" si="0"/>
        <v>0.2</v>
      </c>
    </row>
    <row r="18" spans="1:14" ht="13.8">
      <c r="A18" s="27" t="s">
        <v>17</v>
      </c>
      <c r="F18" s="24">
        <v>0.8</v>
      </c>
      <c r="G18" s="24"/>
      <c r="H18" s="24"/>
      <c r="I18" s="24"/>
      <c r="J18" s="24"/>
      <c r="K18" s="24"/>
      <c r="L18" s="24"/>
      <c r="M18" s="25"/>
      <c r="N18" s="23">
        <f t="shared" si="0"/>
        <v>0.8</v>
      </c>
    </row>
    <row r="19" spans="1:14" ht="13.8">
      <c r="A19" s="26" t="s">
        <v>18</v>
      </c>
      <c r="F19" s="24">
        <v>0.3</v>
      </c>
      <c r="G19" s="24"/>
      <c r="H19" s="24"/>
      <c r="I19" s="24"/>
      <c r="J19" s="24"/>
      <c r="K19" s="24"/>
      <c r="L19" s="24"/>
      <c r="M19" s="25"/>
      <c r="N19" s="23">
        <f t="shared" si="0"/>
        <v>0.3</v>
      </c>
    </row>
    <row r="20" spans="1:14" ht="13.8">
      <c r="A20" s="26" t="s">
        <v>19</v>
      </c>
      <c r="F20" s="24">
        <v>0.3</v>
      </c>
      <c r="G20" s="24"/>
      <c r="H20" s="24"/>
      <c r="I20" s="24"/>
      <c r="J20" s="24"/>
      <c r="K20" s="24"/>
      <c r="L20" s="24"/>
      <c r="M20" s="25"/>
      <c r="N20" s="23">
        <f t="shared" si="0"/>
        <v>0.3</v>
      </c>
    </row>
    <row r="21" spans="1:14" ht="13.8">
      <c r="A21" s="26" t="s">
        <v>20</v>
      </c>
      <c r="F21" s="24">
        <v>-0.4</v>
      </c>
      <c r="G21" s="24"/>
      <c r="H21" s="24">
        <v>-0.3</v>
      </c>
      <c r="I21" s="24"/>
      <c r="J21" s="24">
        <v>-0.3</v>
      </c>
      <c r="K21" s="24"/>
      <c r="L21" s="24">
        <v>-0.6</v>
      </c>
      <c r="M21" s="25"/>
      <c r="N21" s="23">
        <f t="shared" si="0"/>
        <v>-1.6</v>
      </c>
    </row>
    <row r="22" spans="1:14" ht="13.8">
      <c r="A22" s="26" t="s">
        <v>21</v>
      </c>
      <c r="B22" s="28"/>
      <c r="C22" s="28"/>
      <c r="D22" s="28"/>
      <c r="E22" s="28"/>
      <c r="F22" s="29">
        <v>0.9</v>
      </c>
      <c r="G22" s="29"/>
      <c r="H22" s="29">
        <v>0.7</v>
      </c>
      <c r="I22" s="29"/>
      <c r="J22" s="29"/>
      <c r="K22" s="29"/>
      <c r="L22" s="29">
        <v>0.1</v>
      </c>
      <c r="M22" s="29"/>
      <c r="N22" s="23">
        <f t="shared" si="0"/>
        <v>1.7000000000000002</v>
      </c>
    </row>
    <row r="23" spans="1:14" ht="13.8">
      <c r="A23" s="26" t="s">
        <v>22</v>
      </c>
      <c r="B23" s="28"/>
      <c r="C23" s="28"/>
      <c r="D23" s="28"/>
      <c r="E23" s="28"/>
      <c r="F23" s="29">
        <v>-0.1</v>
      </c>
      <c r="G23" s="29"/>
      <c r="H23" s="29">
        <v>-0.1</v>
      </c>
      <c r="I23" s="29"/>
      <c r="J23" s="29">
        <v>-0.1</v>
      </c>
      <c r="K23" s="29"/>
      <c r="L23" s="29"/>
      <c r="M23" s="29"/>
      <c r="N23" s="23">
        <f t="shared" si="0"/>
        <v>-0.30000000000000004</v>
      </c>
    </row>
    <row r="24" spans="1:14" ht="13.8">
      <c r="A24" s="26" t="s">
        <v>23</v>
      </c>
      <c r="B24" s="28"/>
      <c r="C24" s="28"/>
      <c r="D24" s="28"/>
      <c r="E24" s="28"/>
      <c r="F24" s="29">
        <v>1</v>
      </c>
      <c r="G24" s="29"/>
      <c r="H24" s="29"/>
      <c r="I24" s="29"/>
      <c r="J24" s="29"/>
      <c r="K24" s="29"/>
      <c r="L24" s="29"/>
      <c r="M24" s="29"/>
      <c r="N24" s="23">
        <f t="shared" si="0"/>
        <v>1</v>
      </c>
    </row>
    <row r="25" spans="1:14" ht="13.8">
      <c r="A25" s="26" t="s">
        <v>24</v>
      </c>
      <c r="B25" s="28"/>
      <c r="C25" s="28"/>
      <c r="D25" s="28"/>
      <c r="E25" s="28"/>
      <c r="F25" s="29"/>
      <c r="G25" s="29"/>
      <c r="H25" s="29"/>
      <c r="I25" s="29"/>
      <c r="J25" s="29">
        <v>-1</v>
      </c>
      <c r="K25" s="29"/>
      <c r="L25" s="29"/>
      <c r="M25" s="29"/>
      <c r="N25" s="23">
        <f t="shared" si="0"/>
        <v>-1</v>
      </c>
    </row>
    <row r="26" spans="1:14" ht="13.8">
      <c r="A26" s="26" t="s">
        <v>25</v>
      </c>
      <c r="B26" s="28"/>
      <c r="C26" s="28"/>
      <c r="D26" s="28"/>
      <c r="E26" s="28"/>
      <c r="F26" s="29"/>
      <c r="G26" s="29"/>
      <c r="H26" s="29">
        <v>3</v>
      </c>
      <c r="I26" s="29"/>
      <c r="J26" s="29"/>
      <c r="K26" s="29"/>
      <c r="L26" s="29">
        <v>-3</v>
      </c>
      <c r="M26" s="29"/>
      <c r="N26" s="23">
        <f t="shared" si="0"/>
        <v>0</v>
      </c>
    </row>
    <row r="27" spans="1:14" ht="13.8">
      <c r="A27" s="26" t="s">
        <v>26</v>
      </c>
      <c r="F27" s="24"/>
      <c r="G27" s="24"/>
      <c r="H27" s="24">
        <v>-0.8</v>
      </c>
      <c r="I27" s="24"/>
      <c r="J27" s="24">
        <v>-0.8</v>
      </c>
      <c r="K27" s="24"/>
      <c r="L27" s="24">
        <v>-0.8</v>
      </c>
      <c r="M27" s="25"/>
      <c r="N27" s="23">
        <f t="shared" si="0"/>
        <v>-2.4000000000000004</v>
      </c>
    </row>
    <row r="28" spans="1:14" ht="13.8">
      <c r="A28" s="26" t="s">
        <v>27</v>
      </c>
      <c r="F28" s="24">
        <v>0.8</v>
      </c>
      <c r="G28" s="24"/>
      <c r="H28" s="24"/>
      <c r="I28" s="24"/>
      <c r="J28" s="24"/>
      <c r="K28" s="24"/>
      <c r="L28" s="24"/>
      <c r="M28" s="25"/>
      <c r="N28" s="23">
        <f t="shared" si="0"/>
        <v>0.8</v>
      </c>
    </row>
    <row r="29" spans="1:14" ht="13.8">
      <c r="A29" s="26" t="s">
        <v>28</v>
      </c>
      <c r="F29" s="24">
        <v>-0.7</v>
      </c>
      <c r="G29" s="24"/>
      <c r="H29" s="24"/>
      <c r="I29" s="24"/>
      <c r="J29" s="24"/>
      <c r="K29" s="24"/>
      <c r="L29" s="24"/>
      <c r="M29" s="25"/>
      <c r="N29" s="23">
        <f t="shared" si="0"/>
        <v>-0.7</v>
      </c>
    </row>
    <row r="30" spans="1:14" ht="13.8">
      <c r="A30" s="26" t="s">
        <v>29</v>
      </c>
      <c r="F30" s="24">
        <v>0.1</v>
      </c>
      <c r="G30" s="24"/>
      <c r="H30" s="24"/>
      <c r="I30" s="24"/>
      <c r="J30" s="24"/>
      <c r="K30" s="24"/>
      <c r="L30" s="24"/>
      <c r="M30" s="25"/>
      <c r="N30" s="23">
        <f t="shared" si="0"/>
        <v>0.1</v>
      </c>
    </row>
    <row r="31" spans="1:14" ht="13.8">
      <c r="A31" s="27" t="s">
        <v>30</v>
      </c>
      <c r="F31" s="24">
        <v>-3.1</v>
      </c>
      <c r="G31" s="24"/>
      <c r="H31" s="24"/>
      <c r="I31" s="24"/>
      <c r="J31" s="24"/>
      <c r="K31" s="24"/>
      <c r="L31" s="24"/>
      <c r="M31" s="25"/>
      <c r="N31" s="23">
        <f t="shared" si="0"/>
        <v>-3.1</v>
      </c>
    </row>
    <row r="32" spans="1:14" ht="13.8">
      <c r="A32" s="26" t="s">
        <v>31</v>
      </c>
      <c r="F32" s="24"/>
      <c r="G32" s="24"/>
      <c r="H32" s="24"/>
      <c r="I32" s="24"/>
      <c r="J32" s="24"/>
      <c r="K32" s="24"/>
      <c r="L32" s="24">
        <v>-2.2999999999999998</v>
      </c>
      <c r="M32" s="25"/>
      <c r="N32" s="23">
        <f t="shared" si="0"/>
        <v>-2.2999999999999998</v>
      </c>
    </row>
    <row r="33" spans="1:15" ht="13.8">
      <c r="A33" s="26" t="s">
        <v>32</v>
      </c>
      <c r="F33" s="24"/>
      <c r="G33" s="24"/>
      <c r="H33" s="24"/>
      <c r="I33" s="24"/>
      <c r="J33" s="24"/>
      <c r="K33" s="24"/>
      <c r="L33" s="24">
        <f>3.2-2.4</f>
        <v>0.80000000000000027</v>
      </c>
      <c r="M33" s="25"/>
      <c r="N33" s="23">
        <f t="shared" si="0"/>
        <v>0.80000000000000027</v>
      </c>
    </row>
    <row r="34" spans="1:15" ht="13.8">
      <c r="A34" s="27" t="s">
        <v>33</v>
      </c>
      <c r="F34" s="24"/>
      <c r="G34" s="24"/>
      <c r="H34" s="24"/>
      <c r="I34" s="24"/>
      <c r="J34" s="24">
        <f>-0.8-0.2</f>
        <v>-1</v>
      </c>
      <c r="K34" s="24"/>
      <c r="L34" s="24">
        <v>-1</v>
      </c>
      <c r="M34" s="25"/>
      <c r="N34" s="23">
        <f t="shared" si="0"/>
        <v>-2</v>
      </c>
    </row>
    <row r="35" spans="1:15" ht="13.8">
      <c r="A35" s="26" t="s">
        <v>34</v>
      </c>
      <c r="F35" s="30">
        <f>0.3</f>
        <v>0.3</v>
      </c>
      <c r="G35" s="24"/>
      <c r="H35" s="30">
        <f>-0.2+0.1</f>
        <v>-0.1</v>
      </c>
      <c r="I35" s="24"/>
      <c r="J35" s="30">
        <v>0.1</v>
      </c>
      <c r="K35" s="24"/>
      <c r="L35" s="30"/>
      <c r="M35" s="25"/>
      <c r="N35" s="31">
        <f t="shared" si="0"/>
        <v>0.3</v>
      </c>
    </row>
    <row r="36" spans="1:15" ht="6" customHeight="1">
      <c r="A36" s="26"/>
      <c r="F36" s="23"/>
      <c r="G36" s="23"/>
      <c r="H36" s="23"/>
      <c r="I36" s="23"/>
      <c r="J36" s="23"/>
      <c r="K36" s="23"/>
      <c r="L36" s="23"/>
      <c r="M36" s="23"/>
      <c r="N36" s="23"/>
    </row>
    <row r="37" spans="1:15" ht="13.8">
      <c r="A37" s="26"/>
      <c r="B37" t="s">
        <v>35</v>
      </c>
      <c r="F37" s="31">
        <f>SUM(F9:F36)</f>
        <v>7.400000000000003</v>
      </c>
      <c r="G37" s="23"/>
      <c r="H37" s="31">
        <f>SUM(H9:H36)</f>
        <v>13.799999999999999</v>
      </c>
      <c r="I37" s="23"/>
      <c r="J37" s="31">
        <f>SUM(J9:J36)</f>
        <v>-9.1999999999999993</v>
      </c>
      <c r="K37" s="23"/>
      <c r="L37" s="31">
        <f>SUM(L9:L36)</f>
        <v>-12</v>
      </c>
      <c r="M37" s="23"/>
      <c r="N37" s="31">
        <f>SUM(N9:N36)</f>
        <v>2.8310687127941492E-15</v>
      </c>
    </row>
    <row r="38" spans="1:15" ht="6" customHeight="1" thickBot="1">
      <c r="F38" s="32"/>
      <c r="G38" s="23"/>
      <c r="H38" s="32"/>
      <c r="I38" s="32"/>
      <c r="J38" s="32"/>
      <c r="K38" s="32"/>
      <c r="L38" s="32"/>
      <c r="M38" s="32"/>
      <c r="N38" s="32"/>
    </row>
    <row r="39" spans="1:15" ht="15.75" customHeight="1" thickBot="1">
      <c r="A39" s="17" t="s">
        <v>36</v>
      </c>
      <c r="B39" s="33"/>
      <c r="C39" s="33"/>
      <c r="D39" s="33"/>
      <c r="E39" s="33"/>
      <c r="F39" s="34">
        <f>+F7+F37</f>
        <v>104.30000000000001</v>
      </c>
      <c r="G39" s="34"/>
      <c r="H39" s="34">
        <f>+H7+H37</f>
        <v>25.7</v>
      </c>
      <c r="I39" s="34"/>
      <c r="J39" s="34">
        <f>+J7+J37</f>
        <v>19.3</v>
      </c>
      <c r="K39" s="34"/>
      <c r="L39" s="34">
        <f>+L7+L37</f>
        <v>65.7</v>
      </c>
      <c r="M39" s="34"/>
      <c r="N39" s="35">
        <f>+N7+N37</f>
        <v>215</v>
      </c>
    </row>
    <row r="40" spans="1:15" ht="15.75" customHeight="1">
      <c r="A40" s="36"/>
      <c r="B40" s="28"/>
      <c r="C40" s="28"/>
      <c r="D40" s="28"/>
      <c r="E40" s="28"/>
      <c r="F40" s="37"/>
      <c r="G40" s="37"/>
      <c r="H40" s="37"/>
      <c r="I40" s="37"/>
      <c r="J40" s="37"/>
      <c r="K40" s="37"/>
      <c r="L40" s="37"/>
      <c r="M40" s="37"/>
      <c r="N40" s="37"/>
    </row>
    <row r="41" spans="1:15" ht="12.75" customHeight="1" thickBot="1">
      <c r="F41" s="32"/>
      <c r="G41" s="32"/>
      <c r="H41" s="32"/>
      <c r="I41" s="32"/>
      <c r="J41" s="32"/>
      <c r="K41" s="32"/>
      <c r="L41" s="32"/>
      <c r="M41" s="32"/>
      <c r="N41" s="32"/>
    </row>
    <row r="42" spans="1:15" ht="15.75" customHeight="1" thickBot="1">
      <c r="A42" s="17" t="s">
        <v>37</v>
      </c>
      <c r="B42" s="33"/>
      <c r="C42" s="33"/>
      <c r="D42" s="33"/>
      <c r="E42" s="33"/>
      <c r="F42" s="34">
        <v>58.7</v>
      </c>
      <c r="G42" s="34"/>
      <c r="H42" s="38">
        <v>7.7</v>
      </c>
      <c r="I42" s="34"/>
      <c r="J42" s="34">
        <v>17.7</v>
      </c>
      <c r="K42" s="34"/>
      <c r="L42" s="34">
        <v>45</v>
      </c>
      <c r="M42" s="34"/>
      <c r="N42" s="35">
        <f>SUM(F42:L42)</f>
        <v>129.10000000000002</v>
      </c>
    </row>
    <row r="43" spans="1:15" ht="6" customHeight="1">
      <c r="A43" s="39" t="s">
        <v>38</v>
      </c>
      <c r="F43" s="22"/>
      <c r="G43" s="22"/>
      <c r="H43" s="22"/>
      <c r="I43" s="22"/>
      <c r="J43" s="22"/>
      <c r="K43" s="22"/>
      <c r="L43" s="22"/>
      <c r="M43" s="23"/>
      <c r="N43" s="23"/>
    </row>
    <row r="44" spans="1:15" ht="13.8">
      <c r="A44" s="26" t="s">
        <v>39</v>
      </c>
      <c r="F44" s="32">
        <f>F37*0.60527</f>
        <v>4.4789980000000016</v>
      </c>
      <c r="G44" s="40"/>
      <c r="H44" s="32">
        <f>(H37*0.60527)-0.1</f>
        <v>8.2527259999999991</v>
      </c>
      <c r="I44" s="40"/>
      <c r="J44" s="32">
        <f>J37*0.60527</f>
        <v>-5.5684839999999998</v>
      </c>
      <c r="K44" s="40"/>
      <c r="L44" s="32">
        <f>L37*0.60527</f>
        <v>-7.2632399999999997</v>
      </c>
      <c r="M44" s="32"/>
      <c r="N44" s="32">
        <f>SUM(F44:L44)</f>
        <v>-9.9999999999999645E-2</v>
      </c>
      <c r="O44" s="41"/>
    </row>
    <row r="45" spans="1:15" ht="13.8">
      <c r="A45" s="26" t="s">
        <v>40</v>
      </c>
      <c r="F45" s="40">
        <f>0.7+0.3</f>
        <v>1</v>
      </c>
      <c r="G45" s="40"/>
      <c r="H45" s="40">
        <v>0.7</v>
      </c>
      <c r="I45" s="40"/>
      <c r="J45" s="40">
        <v>0.7</v>
      </c>
      <c r="K45" s="40"/>
      <c r="L45" s="40">
        <v>0.7</v>
      </c>
      <c r="M45" s="32"/>
      <c r="N45" s="32">
        <f>SUM(F45:L45)</f>
        <v>3.0999999999999996</v>
      </c>
    </row>
    <row r="46" spans="1:15" ht="13.8">
      <c r="A46" s="26" t="s">
        <v>41</v>
      </c>
      <c r="F46" s="40"/>
      <c r="G46" s="40"/>
      <c r="H46" s="40"/>
      <c r="I46" s="40"/>
      <c r="J46" s="40"/>
      <c r="K46" s="40"/>
      <c r="L46" s="40">
        <v>2.5</v>
      </c>
      <c r="M46" s="32"/>
      <c r="N46" s="32">
        <f>SUM(F46:L46)</f>
        <v>2.5</v>
      </c>
    </row>
    <row r="47" spans="1:15" ht="13.8">
      <c r="A47" t="s">
        <v>42</v>
      </c>
      <c r="F47" s="23"/>
      <c r="G47" s="23"/>
      <c r="H47" s="23"/>
      <c r="I47" s="23"/>
      <c r="J47" s="23"/>
      <c r="K47" s="23"/>
      <c r="L47" s="40">
        <v>-5.8</v>
      </c>
      <c r="M47" s="23"/>
      <c r="N47" s="32">
        <f>SUM(F47:L47)</f>
        <v>-5.8</v>
      </c>
    </row>
    <row r="48" spans="1:15" ht="13.8">
      <c r="A48" t="s">
        <v>43</v>
      </c>
      <c r="F48" s="31">
        <v>-0.1</v>
      </c>
      <c r="G48" s="23"/>
      <c r="H48" s="31"/>
      <c r="I48" s="23"/>
      <c r="J48" s="31"/>
      <c r="K48" s="23"/>
      <c r="L48" s="31">
        <v>0.1</v>
      </c>
      <c r="M48" s="23"/>
      <c r="N48" s="31">
        <f>SUM(F48:L48)</f>
        <v>0</v>
      </c>
    </row>
    <row r="49" spans="1:14" ht="13.8">
      <c r="A49" s="26"/>
      <c r="B49" t="s">
        <v>35</v>
      </c>
      <c r="F49" s="31">
        <f>SUM(F44:F48)</f>
        <v>5.3789980000000019</v>
      </c>
      <c r="G49" s="32"/>
      <c r="H49" s="31">
        <f>SUM(H44:H48)</f>
        <v>8.9527259999999984</v>
      </c>
      <c r="I49" s="32"/>
      <c r="J49" s="31">
        <f>SUM(J44:J48)</f>
        <v>-4.8684839999999996</v>
      </c>
      <c r="K49" s="32"/>
      <c r="L49" s="31">
        <f>SUM(L44:L48)</f>
        <v>-9.7632399999999997</v>
      </c>
      <c r="M49" s="32"/>
      <c r="N49" s="31">
        <f>SUM(N44:N48)</f>
        <v>-0.29999999999999982</v>
      </c>
    </row>
    <row r="50" spans="1:14" ht="6" customHeight="1" thickBot="1">
      <c r="F50" s="23"/>
      <c r="G50" s="23"/>
      <c r="H50" s="23"/>
      <c r="I50" s="23"/>
      <c r="J50" s="23"/>
      <c r="K50" s="23"/>
      <c r="L50" s="23"/>
      <c r="M50" s="23"/>
      <c r="N50" s="23"/>
    </row>
    <row r="51" spans="1:14" ht="14.4" thickBot="1">
      <c r="A51" s="17" t="s">
        <v>44</v>
      </c>
      <c r="B51" s="42"/>
      <c r="C51" s="42"/>
      <c r="D51" s="42"/>
      <c r="E51" s="42"/>
      <c r="F51" s="34">
        <f>+F49+F42</f>
        <v>64.078997999999999</v>
      </c>
      <c r="G51" s="43"/>
      <c r="H51" s="34">
        <f>+H49+H42</f>
        <v>16.652725999999998</v>
      </c>
      <c r="I51" s="43"/>
      <c r="J51" s="34">
        <f>+J49+J42</f>
        <v>12.831516000000001</v>
      </c>
      <c r="K51" s="43"/>
      <c r="L51" s="34">
        <f>+L49+L42</f>
        <v>35.236760000000004</v>
      </c>
      <c r="M51" s="43"/>
      <c r="N51" s="35">
        <f>+N49+N42</f>
        <v>128.80000000000001</v>
      </c>
    </row>
    <row r="52" spans="1:14" ht="6" customHeight="1">
      <c r="A52" s="44"/>
      <c r="F52" s="45"/>
      <c r="G52" s="23"/>
      <c r="H52" s="45"/>
      <c r="I52" s="23"/>
      <c r="J52" s="45"/>
      <c r="K52" s="23"/>
      <c r="L52" s="45"/>
      <c r="M52" s="23"/>
      <c r="N52" s="45"/>
    </row>
    <row r="53" spans="1:14">
      <c r="F53" s="46"/>
      <c r="G53" s="46"/>
      <c r="H53" s="46"/>
      <c r="I53" s="46"/>
      <c r="J53" s="46"/>
      <c r="K53" s="46"/>
      <c r="L53" s="46"/>
      <c r="M53" s="46"/>
      <c r="N53" s="46"/>
    </row>
    <row r="54" spans="1:14">
      <c r="A54" s="47" t="str">
        <f ca="1">CELL("filename")</f>
        <v>L:\2000CE\Forecasts\[MarchForecast.xls]updown</v>
      </c>
    </row>
  </sheetData>
  <printOptions horizontalCentered="1"/>
  <pageMargins left="0.5" right="0.5" top="0.5" bottom="0.25" header="0.5" footer="0.5"/>
  <pageSetup scale="70" orientation="landscape" r:id="rId1"/>
  <headerFooter alignWithMargins="0">
    <oddFooter>&amp;RPage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80"/>
  <sheetViews>
    <sheetView topLeftCell="A4" zoomScale="75" workbookViewId="0">
      <selection activeCell="F19" sqref="F19"/>
    </sheetView>
  </sheetViews>
  <sheetFormatPr defaultRowHeight="13.2"/>
  <cols>
    <col min="1" max="1" width="5.109375" customWidth="1"/>
    <col min="2" max="2" width="28.6640625" customWidth="1"/>
    <col min="3" max="3" width="6.5546875" customWidth="1"/>
    <col min="4" max="4" width="4" customWidth="1"/>
    <col min="9" max="9" width="3.5546875" customWidth="1"/>
    <col min="10" max="10" width="43" customWidth="1"/>
    <col min="11" max="11" width="4.6640625" customWidth="1"/>
    <col min="14" max="14" width="12.44140625" customWidth="1"/>
    <col min="15" max="15" width="9.6640625" customWidth="1"/>
    <col min="16" max="16" width="2.88671875" customWidth="1"/>
    <col min="17" max="17" width="6.33203125" customWidth="1"/>
    <col min="18" max="18" width="9.5546875" customWidth="1"/>
  </cols>
  <sheetData>
    <row r="2" spans="1:10" ht="17.399999999999999">
      <c r="B2" s="48" t="s">
        <v>45</v>
      </c>
    </row>
    <row r="3" spans="1:10" ht="17.399999999999999">
      <c r="B3" s="48" t="s">
        <v>46</v>
      </c>
    </row>
    <row r="4" spans="1:10" ht="17.399999999999999">
      <c r="B4" s="48" t="s">
        <v>47</v>
      </c>
    </row>
    <row r="5" spans="1:10" ht="17.399999999999999">
      <c r="B5" s="48" t="s">
        <v>48</v>
      </c>
    </row>
    <row r="6" spans="1:10" ht="17.399999999999999">
      <c r="B6" s="48"/>
    </row>
    <row r="7" spans="1:10">
      <c r="C7" s="41"/>
      <c r="D7" s="41"/>
      <c r="E7" s="49"/>
      <c r="F7" s="41"/>
      <c r="G7" s="41"/>
      <c r="H7" s="41"/>
      <c r="I7" s="41"/>
      <c r="J7" s="41"/>
    </row>
    <row r="8" spans="1:10">
      <c r="B8" s="50" t="s">
        <v>49</v>
      </c>
      <c r="C8" s="41"/>
      <c r="D8" s="41"/>
      <c r="E8" s="41"/>
      <c r="F8" s="41"/>
      <c r="G8" s="41"/>
      <c r="H8" s="41"/>
      <c r="I8" s="41"/>
      <c r="J8" s="41"/>
    </row>
    <row r="9" spans="1:10">
      <c r="B9" s="41"/>
      <c r="C9" s="41"/>
      <c r="D9" s="51"/>
      <c r="E9" s="52" t="s">
        <v>50</v>
      </c>
      <c r="F9" s="53" t="s">
        <v>51</v>
      </c>
      <c r="G9" s="53" t="s">
        <v>52</v>
      </c>
      <c r="H9" s="53" t="s">
        <v>9</v>
      </c>
      <c r="I9" s="41"/>
      <c r="J9" s="41"/>
    </row>
    <row r="10" spans="1:10">
      <c r="B10" s="41"/>
      <c r="C10" s="41"/>
      <c r="D10" s="51"/>
      <c r="E10" s="51"/>
      <c r="F10" s="41"/>
      <c r="G10" s="41"/>
      <c r="H10" s="41"/>
      <c r="I10" s="41"/>
      <c r="J10" s="41"/>
    </row>
    <row r="11" spans="1:10">
      <c r="B11" s="41" t="s">
        <v>53</v>
      </c>
      <c r="C11" s="41"/>
      <c r="D11" s="51"/>
      <c r="E11" s="51">
        <v>-0.1</v>
      </c>
      <c r="F11" s="51">
        <v>-0.1</v>
      </c>
      <c r="G11" s="51">
        <v>-0.1</v>
      </c>
      <c r="H11" s="51">
        <f t="shared" ref="H11:H18" si="0">SUM(E11:G11)</f>
        <v>-0.30000000000000004</v>
      </c>
      <c r="I11" s="51"/>
      <c r="J11" s="41" t="s">
        <v>54</v>
      </c>
    </row>
    <row r="12" spans="1:10">
      <c r="A12" s="41"/>
      <c r="B12" s="41" t="s">
        <v>55</v>
      </c>
      <c r="C12" s="41"/>
      <c r="D12" s="51"/>
      <c r="E12" s="51">
        <v>0.1</v>
      </c>
      <c r="F12" s="51">
        <v>0.1</v>
      </c>
      <c r="G12" s="54">
        <v>0.1</v>
      </c>
      <c r="H12" s="51">
        <f t="shared" si="0"/>
        <v>0.30000000000000004</v>
      </c>
      <c r="I12" s="51"/>
      <c r="J12" s="41" t="s">
        <v>56</v>
      </c>
    </row>
    <row r="13" spans="1:10">
      <c r="B13" s="41" t="s">
        <v>57</v>
      </c>
      <c r="C13" s="41"/>
      <c r="D13" s="51"/>
      <c r="E13" s="51">
        <v>0.1</v>
      </c>
      <c r="F13" s="51">
        <v>0.1</v>
      </c>
      <c r="G13" s="51">
        <v>0.1</v>
      </c>
      <c r="H13" s="51">
        <f t="shared" si="0"/>
        <v>0.30000000000000004</v>
      </c>
      <c r="I13" s="51"/>
      <c r="J13" s="41" t="s">
        <v>58</v>
      </c>
    </row>
    <row r="14" spans="1:10">
      <c r="B14" s="41" t="s">
        <v>59</v>
      </c>
      <c r="C14" s="41"/>
      <c r="D14" s="51"/>
      <c r="E14" s="51">
        <v>0.1</v>
      </c>
      <c r="F14" s="51">
        <v>0.1</v>
      </c>
      <c r="G14" s="51">
        <v>0.1</v>
      </c>
      <c r="H14" s="51">
        <f t="shared" si="0"/>
        <v>0.30000000000000004</v>
      </c>
      <c r="I14" s="51"/>
      <c r="J14" s="41" t="s">
        <v>60</v>
      </c>
    </row>
    <row r="15" spans="1:10">
      <c r="B15" s="41" t="s">
        <v>61</v>
      </c>
      <c r="C15" s="41"/>
      <c r="D15" s="51"/>
      <c r="E15" s="51">
        <v>0</v>
      </c>
      <c r="F15" s="51">
        <v>0</v>
      </c>
      <c r="G15" s="51">
        <v>0.1</v>
      </c>
      <c r="H15" s="51">
        <f t="shared" si="0"/>
        <v>0.1</v>
      </c>
      <c r="I15" s="51"/>
      <c r="J15" s="41" t="s">
        <v>62</v>
      </c>
    </row>
    <row r="16" spans="1:10">
      <c r="B16" s="41" t="s">
        <v>63</v>
      </c>
      <c r="C16" s="41"/>
      <c r="D16" s="51"/>
      <c r="E16" s="51">
        <v>0</v>
      </c>
      <c r="F16" s="51">
        <v>0.3</v>
      </c>
      <c r="G16" s="51">
        <v>0</v>
      </c>
      <c r="H16" s="51">
        <f t="shared" si="0"/>
        <v>0.3</v>
      </c>
      <c r="I16" s="51"/>
      <c r="J16" s="41" t="s">
        <v>64</v>
      </c>
    </row>
    <row r="17" spans="1:10">
      <c r="B17" s="41" t="s">
        <v>65</v>
      </c>
      <c r="C17" s="41"/>
      <c r="D17" s="51"/>
      <c r="E17" s="51">
        <v>0.2</v>
      </c>
      <c r="F17" s="51">
        <v>0.2</v>
      </c>
      <c r="G17" s="51">
        <v>0.2</v>
      </c>
      <c r="H17" s="51">
        <f t="shared" si="0"/>
        <v>0.60000000000000009</v>
      </c>
      <c r="I17" s="51"/>
      <c r="J17" s="41" t="s">
        <v>66</v>
      </c>
    </row>
    <row r="18" spans="1:10">
      <c r="B18" s="41" t="s">
        <v>67</v>
      </c>
      <c r="C18" s="41"/>
      <c r="D18" s="51"/>
      <c r="E18" s="55">
        <v>0.1</v>
      </c>
      <c r="F18" s="55">
        <v>0.1</v>
      </c>
      <c r="G18" s="55">
        <v>0</v>
      </c>
      <c r="H18" s="55">
        <f t="shared" si="0"/>
        <v>0.2</v>
      </c>
      <c r="I18" s="51"/>
      <c r="J18" s="41"/>
    </row>
    <row r="19" spans="1:10">
      <c r="B19" s="41" t="s">
        <v>68</v>
      </c>
      <c r="C19" s="41"/>
      <c r="D19" s="51"/>
      <c r="E19" s="51">
        <f>SUM(E11:E18)</f>
        <v>0.5</v>
      </c>
      <c r="F19" s="51">
        <f>SUM(F11:F18)</f>
        <v>0.79999999999999993</v>
      </c>
      <c r="G19" s="51">
        <f>SUM(G11:G18)</f>
        <v>0.5</v>
      </c>
      <c r="H19" s="51">
        <f>SUM(H11:H18)</f>
        <v>1.8</v>
      </c>
      <c r="I19" s="51"/>
      <c r="J19" s="41"/>
    </row>
    <row r="20" spans="1:10" ht="12" customHeight="1">
      <c r="B20" s="41"/>
      <c r="C20" s="41"/>
      <c r="D20" s="41"/>
      <c r="E20" s="51"/>
      <c r="F20" s="51"/>
      <c r="G20" s="51"/>
      <c r="H20" s="51"/>
      <c r="I20" s="51"/>
      <c r="J20" s="41"/>
    </row>
    <row r="21" spans="1:10">
      <c r="A21" s="41"/>
      <c r="B21" s="41" t="s">
        <v>69</v>
      </c>
      <c r="C21" s="41"/>
      <c r="D21" s="51"/>
      <c r="E21" s="51">
        <v>0</v>
      </c>
      <c r="F21" s="51">
        <v>0</v>
      </c>
      <c r="G21" s="51">
        <v>0</v>
      </c>
      <c r="H21" s="51">
        <f>SUM(E21:G21)</f>
        <v>0</v>
      </c>
      <c r="I21" s="51"/>
      <c r="J21" s="41" t="s">
        <v>70</v>
      </c>
    </row>
    <row r="22" spans="1:10">
      <c r="A22" s="41"/>
      <c r="B22" s="41" t="s">
        <v>71</v>
      </c>
      <c r="C22" s="41"/>
      <c r="D22" s="51"/>
      <c r="E22" s="51">
        <v>0</v>
      </c>
      <c r="F22" s="51">
        <v>-0.1</v>
      </c>
      <c r="G22" s="51">
        <v>-0.1</v>
      </c>
      <c r="H22" s="51">
        <f>SUM(E22:G22)</f>
        <v>-0.2</v>
      </c>
      <c r="I22" s="51"/>
      <c r="J22" s="41" t="s">
        <v>72</v>
      </c>
    </row>
    <row r="23" spans="1:10">
      <c r="A23" s="41"/>
      <c r="B23" s="41" t="s">
        <v>73</v>
      </c>
      <c r="C23" s="41"/>
      <c r="D23" s="51"/>
      <c r="E23" s="51">
        <v>0.4</v>
      </c>
      <c r="F23" s="51">
        <v>0.5</v>
      </c>
      <c r="G23" s="51">
        <v>0.2</v>
      </c>
      <c r="H23" s="51">
        <f>SUM(E23:G23)</f>
        <v>1.1000000000000001</v>
      </c>
      <c r="I23" s="51"/>
      <c r="J23" s="41" t="s">
        <v>74</v>
      </c>
    </row>
    <row r="24" spans="1:10">
      <c r="A24" s="41"/>
      <c r="B24" s="41" t="s">
        <v>67</v>
      </c>
      <c r="C24" s="41"/>
      <c r="D24" s="51"/>
      <c r="E24" s="55">
        <v>-0.1</v>
      </c>
      <c r="F24" s="55">
        <v>0.1</v>
      </c>
      <c r="G24" s="55">
        <v>0</v>
      </c>
      <c r="H24" s="55">
        <f>SUM(E24:G24)</f>
        <v>0</v>
      </c>
      <c r="I24" s="51"/>
      <c r="J24" s="41"/>
    </row>
    <row r="25" spans="1:10">
      <c r="B25" s="41" t="s">
        <v>75</v>
      </c>
      <c r="C25" s="41"/>
      <c r="D25" s="51"/>
      <c r="E25" s="51">
        <f>SUM(E21:E24)</f>
        <v>0.30000000000000004</v>
      </c>
      <c r="F25" s="51">
        <f>SUM(F21:F24)</f>
        <v>0.5</v>
      </c>
      <c r="G25" s="51">
        <f>SUM(G21:G24)</f>
        <v>0.1</v>
      </c>
      <c r="H25" s="51">
        <f>SUM(H21:H24)</f>
        <v>0.90000000000000013</v>
      </c>
      <c r="I25" s="51"/>
      <c r="J25" s="41"/>
    </row>
    <row r="26" spans="1:10">
      <c r="B26" s="41"/>
      <c r="C26" s="41"/>
      <c r="D26" s="51"/>
      <c r="E26" s="51"/>
      <c r="F26" s="51"/>
      <c r="G26" s="51"/>
      <c r="H26" s="51"/>
      <c r="I26" s="51"/>
      <c r="J26" s="41"/>
    </row>
    <row r="27" spans="1:10">
      <c r="A27" s="41"/>
      <c r="B27" s="41" t="s">
        <v>76</v>
      </c>
      <c r="C27" s="41"/>
      <c r="D27" s="51"/>
      <c r="E27" s="51">
        <v>0.2</v>
      </c>
      <c r="F27" s="51">
        <v>0.1</v>
      </c>
      <c r="G27" s="51">
        <v>0</v>
      </c>
      <c r="H27" s="51">
        <f>SUM(E27:G27)</f>
        <v>0.30000000000000004</v>
      </c>
      <c r="I27" s="51"/>
      <c r="J27" s="41" t="s">
        <v>77</v>
      </c>
    </row>
    <row r="28" spans="1:10">
      <c r="A28" s="41"/>
      <c r="B28" s="41" t="s">
        <v>78</v>
      </c>
      <c r="C28" s="41"/>
      <c r="D28" s="51"/>
      <c r="E28" s="51">
        <v>0.2</v>
      </c>
      <c r="F28" s="51">
        <v>0.2</v>
      </c>
      <c r="G28" s="51">
        <v>0</v>
      </c>
      <c r="H28" s="51">
        <f>SUM(E28:G28)</f>
        <v>0.4</v>
      </c>
      <c r="I28" s="51"/>
      <c r="J28" s="41" t="s">
        <v>79</v>
      </c>
    </row>
    <row r="29" spans="1:10">
      <c r="A29" s="41"/>
      <c r="B29" s="41" t="s">
        <v>67</v>
      </c>
      <c r="C29" s="41"/>
      <c r="D29" s="51"/>
      <c r="E29" s="55">
        <v>0</v>
      </c>
      <c r="F29" s="55">
        <v>0.1</v>
      </c>
      <c r="G29" s="55">
        <v>0</v>
      </c>
      <c r="H29" s="55">
        <f>SUM(E29:G29)</f>
        <v>0.1</v>
      </c>
      <c r="I29" s="51"/>
      <c r="J29" s="41"/>
    </row>
    <row r="30" spans="1:10">
      <c r="A30" s="41"/>
      <c r="B30" s="41" t="s">
        <v>80</v>
      </c>
      <c r="C30" s="41"/>
      <c r="D30" s="51"/>
      <c r="E30" s="51">
        <f>SUM(E27:E29)</f>
        <v>0.4</v>
      </c>
      <c r="F30" s="51">
        <f>SUM(F27:F29)</f>
        <v>0.4</v>
      </c>
      <c r="G30" s="51">
        <f>SUM(G27:G29)</f>
        <v>0</v>
      </c>
      <c r="H30" s="51">
        <f>SUM(H27:H29)</f>
        <v>0.8</v>
      </c>
      <c r="I30" s="51"/>
      <c r="J30" s="41"/>
    </row>
    <row r="31" spans="1:10">
      <c r="A31" s="41"/>
      <c r="B31" s="41"/>
      <c r="C31" s="41"/>
      <c r="D31" s="51"/>
      <c r="E31" s="51"/>
      <c r="F31" s="51"/>
      <c r="G31" s="51"/>
      <c r="H31" s="51"/>
      <c r="I31" s="51"/>
      <c r="J31" s="41"/>
    </row>
    <row r="32" spans="1:10">
      <c r="A32" s="41"/>
      <c r="B32" s="41" t="s">
        <v>81</v>
      </c>
      <c r="C32" s="41"/>
      <c r="D32" s="51"/>
      <c r="E32" s="51">
        <v>0</v>
      </c>
      <c r="F32" s="51">
        <v>-0.4</v>
      </c>
      <c r="G32" s="51">
        <v>-0.1</v>
      </c>
      <c r="H32" s="51">
        <f>SUM(E32:G32)</f>
        <v>-0.5</v>
      </c>
      <c r="I32" s="51"/>
      <c r="J32" s="41" t="s">
        <v>82</v>
      </c>
    </row>
    <row r="33" spans="1:10" s="58" customFormat="1">
      <c r="A33" s="56"/>
      <c r="B33" s="56" t="s">
        <v>83</v>
      </c>
      <c r="C33" s="56"/>
      <c r="D33" s="57"/>
      <c r="E33" s="57">
        <v>0</v>
      </c>
      <c r="F33" s="57">
        <v>0</v>
      </c>
      <c r="G33" s="57">
        <v>-0.2</v>
      </c>
      <c r="H33" s="57">
        <f>SUM(E33:G33)</f>
        <v>-0.2</v>
      </c>
      <c r="I33" s="57"/>
      <c r="J33" s="56" t="s">
        <v>84</v>
      </c>
    </row>
    <row r="34" spans="1:10">
      <c r="A34" s="41"/>
      <c r="B34" s="41" t="s">
        <v>85</v>
      </c>
      <c r="C34" s="41"/>
      <c r="D34" s="51"/>
      <c r="E34" s="51">
        <v>0</v>
      </c>
      <c r="F34" s="51">
        <v>0</v>
      </c>
      <c r="G34" s="51">
        <v>-0.1</v>
      </c>
      <c r="H34" s="51">
        <f>SUM(E34:G34)</f>
        <v>-0.1</v>
      </c>
      <c r="I34" s="51"/>
      <c r="J34" s="41" t="s">
        <v>86</v>
      </c>
    </row>
    <row r="35" spans="1:10">
      <c r="A35" s="41"/>
      <c r="B35" s="41" t="s">
        <v>87</v>
      </c>
      <c r="C35" s="41"/>
      <c r="D35" s="51"/>
      <c r="E35" s="51">
        <v>0.3</v>
      </c>
      <c r="F35" s="51">
        <v>0</v>
      </c>
      <c r="G35" s="51">
        <v>0</v>
      </c>
      <c r="H35" s="51">
        <f>SUM(E35:G35)</f>
        <v>0.3</v>
      </c>
      <c r="I35" s="51"/>
      <c r="J35" s="41" t="s">
        <v>88</v>
      </c>
    </row>
    <row r="36" spans="1:10">
      <c r="A36" s="41"/>
      <c r="B36" s="41"/>
      <c r="C36" s="41"/>
      <c r="D36" s="51"/>
      <c r="E36" s="51"/>
      <c r="F36" s="51"/>
      <c r="G36" s="51"/>
      <c r="H36" s="51"/>
      <c r="I36" s="51"/>
      <c r="J36" s="41"/>
    </row>
    <row r="37" spans="1:10">
      <c r="A37" s="41"/>
      <c r="B37" s="41" t="s">
        <v>89</v>
      </c>
      <c r="C37" s="41"/>
      <c r="D37" s="51"/>
      <c r="E37" s="51">
        <v>-0.3</v>
      </c>
      <c r="F37" s="51">
        <f>-0.2+0.1</f>
        <v>-0.1</v>
      </c>
      <c r="G37" s="51">
        <v>-0.1</v>
      </c>
      <c r="H37" s="51">
        <f>SUM(E37:G37)</f>
        <v>-0.5</v>
      </c>
      <c r="I37" s="51"/>
      <c r="J37" s="41" t="s">
        <v>90</v>
      </c>
    </row>
    <row r="38" spans="1:10">
      <c r="B38" s="41"/>
      <c r="C38" s="41"/>
      <c r="D38" s="41"/>
      <c r="E38" s="51"/>
      <c r="F38" s="51"/>
      <c r="G38" s="51"/>
      <c r="H38" s="51"/>
      <c r="I38" s="51"/>
      <c r="J38" s="41"/>
    </row>
    <row r="39" spans="1:10" ht="13.8" thickBot="1">
      <c r="B39" s="41" t="s">
        <v>91</v>
      </c>
      <c r="C39" s="41"/>
      <c r="D39" s="41"/>
      <c r="E39" s="59">
        <f>E19+E25+E30+SUM(E32:E37)</f>
        <v>1.2000000000000002</v>
      </c>
      <c r="F39" s="59">
        <f>F19+F25+F30+SUM(F32:F37)</f>
        <v>1.1999999999999997</v>
      </c>
      <c r="G39" s="59">
        <f>G19+G25+G30+SUM(G32:G37)</f>
        <v>9.9999999999999978E-2</v>
      </c>
      <c r="H39" s="59">
        <f>H19+H25+H30+SUM(H32:H37)</f>
        <v>2.5</v>
      </c>
      <c r="I39" s="51"/>
      <c r="J39" s="41"/>
    </row>
    <row r="40" spans="1:10" ht="13.8" thickTop="1">
      <c r="B40" s="41"/>
      <c r="C40" s="41"/>
      <c r="D40" s="41"/>
      <c r="E40" s="41"/>
      <c r="F40" s="41"/>
      <c r="G40" s="41"/>
    </row>
    <row r="41" spans="1:10">
      <c r="C41" s="41"/>
      <c r="D41" s="41"/>
      <c r="E41" s="49"/>
      <c r="F41" s="41"/>
      <c r="G41" s="41"/>
    </row>
    <row r="42" spans="1:10">
      <c r="B42" s="50"/>
      <c r="C42" s="41"/>
      <c r="D42" s="41"/>
      <c r="E42" s="41"/>
      <c r="F42" s="41"/>
      <c r="G42" s="41"/>
      <c r="H42" s="41"/>
      <c r="I42" s="41"/>
      <c r="J42" s="41"/>
    </row>
    <row r="43" spans="1:10">
      <c r="B43" s="41"/>
      <c r="C43" s="41"/>
      <c r="D43" s="51"/>
      <c r="E43" s="60"/>
      <c r="F43" s="41"/>
      <c r="G43" s="41"/>
      <c r="H43" s="41"/>
      <c r="I43" s="41"/>
      <c r="J43" s="41"/>
    </row>
    <row r="44" spans="1:10">
      <c r="B44" s="41"/>
      <c r="C44" s="41"/>
      <c r="D44" s="51"/>
      <c r="E44" s="51"/>
      <c r="F44" s="41"/>
      <c r="G44" s="41"/>
      <c r="H44" s="41"/>
      <c r="I44" s="41"/>
      <c r="J44" s="41"/>
    </row>
    <row r="45" spans="1:10">
      <c r="B45" s="41"/>
      <c r="C45" s="41"/>
      <c r="D45" s="51"/>
      <c r="E45" s="61"/>
      <c r="F45" s="61"/>
      <c r="G45" s="61"/>
      <c r="H45" s="62"/>
      <c r="I45" s="41"/>
      <c r="J45" s="41"/>
    </row>
    <row r="46" spans="1:10">
      <c r="B46" s="41"/>
      <c r="C46" s="41"/>
      <c r="D46" s="41"/>
      <c r="E46" s="63"/>
      <c r="F46" s="63"/>
      <c r="G46" s="63"/>
      <c r="H46" s="63"/>
      <c r="I46" s="41"/>
      <c r="J46" s="41"/>
    </row>
    <row r="47" spans="1:10">
      <c r="B47" s="41"/>
      <c r="C47" s="41"/>
      <c r="D47" s="51"/>
      <c r="E47" s="64"/>
      <c r="F47" s="64"/>
      <c r="G47" s="64"/>
      <c r="H47" s="64"/>
      <c r="I47" s="41"/>
      <c r="J47" s="41"/>
    </row>
    <row r="48" spans="1:10">
      <c r="B48" s="41"/>
      <c r="C48" s="41"/>
      <c r="D48" s="41"/>
      <c r="E48" s="63"/>
      <c r="F48" s="63"/>
      <c r="G48" s="63"/>
      <c r="H48" s="63"/>
      <c r="I48" s="41"/>
      <c r="J48" s="41"/>
    </row>
    <row r="49" spans="2:10">
      <c r="B49" s="41"/>
      <c r="C49" s="41"/>
      <c r="D49" s="41"/>
      <c r="E49" s="64"/>
      <c r="F49" s="64"/>
      <c r="G49" s="64"/>
      <c r="H49" s="63"/>
      <c r="I49" s="41"/>
      <c r="J49" s="41"/>
    </row>
    <row r="50" spans="2:10">
      <c r="B50" s="41"/>
      <c r="C50" s="41"/>
      <c r="D50" s="41"/>
      <c r="E50" s="64"/>
      <c r="F50" s="64"/>
      <c r="G50" s="64"/>
      <c r="H50" s="63"/>
      <c r="I50" s="41"/>
      <c r="J50" s="41"/>
    </row>
    <row r="51" spans="2:10">
      <c r="B51" s="41"/>
      <c r="C51" s="41"/>
      <c r="D51" s="41"/>
      <c r="E51" s="64"/>
      <c r="F51" s="64"/>
      <c r="G51" s="64"/>
      <c r="H51" s="63"/>
      <c r="I51" s="41"/>
      <c r="J51" s="41"/>
    </row>
    <row r="52" spans="2:10">
      <c r="B52" s="41"/>
      <c r="C52" s="41"/>
      <c r="D52" s="41"/>
      <c r="E52" s="64"/>
      <c r="F52" s="64"/>
      <c r="G52" s="64"/>
      <c r="H52" s="63"/>
      <c r="I52" s="41"/>
      <c r="J52" s="41"/>
    </row>
    <row r="53" spans="2:10">
      <c r="B53" s="41"/>
      <c r="C53" s="41"/>
      <c r="D53" s="41"/>
      <c r="E53" s="64"/>
      <c r="F53" s="64"/>
      <c r="G53" s="64"/>
      <c r="H53" s="63"/>
      <c r="I53" s="41"/>
      <c r="J53" s="41"/>
    </row>
    <row r="54" spans="2:10">
      <c r="B54" s="41"/>
      <c r="C54" s="41"/>
      <c r="D54" s="41"/>
      <c r="E54" s="64"/>
      <c r="F54" s="64"/>
      <c r="G54" s="64"/>
      <c r="H54" s="63"/>
      <c r="I54" s="41"/>
      <c r="J54" s="41"/>
    </row>
    <row r="55" spans="2:10">
      <c r="B55" s="41"/>
      <c r="C55" s="41"/>
      <c r="D55" s="41"/>
      <c r="E55" s="64"/>
      <c r="F55" s="64"/>
      <c r="G55" s="64"/>
      <c r="H55" s="63"/>
      <c r="I55" s="41"/>
      <c r="J55" s="41"/>
    </row>
    <row r="56" spans="2:10">
      <c r="B56" s="41"/>
      <c r="C56" s="41"/>
      <c r="D56" s="41"/>
      <c r="E56" s="64"/>
      <c r="F56" s="64"/>
      <c r="G56" s="64"/>
      <c r="H56" s="63"/>
      <c r="I56" s="41"/>
      <c r="J56" s="41"/>
    </row>
    <row r="57" spans="2:10">
      <c r="B57" s="41"/>
      <c r="C57" s="41"/>
      <c r="D57" s="41"/>
      <c r="E57" s="64"/>
      <c r="F57" s="64"/>
      <c r="G57" s="64"/>
      <c r="H57" s="63"/>
      <c r="I57" s="41"/>
      <c r="J57" s="41"/>
    </row>
    <row r="58" spans="2:10">
      <c r="B58" s="41"/>
      <c r="C58" s="41"/>
      <c r="D58" s="41"/>
      <c r="E58" s="64"/>
      <c r="F58" s="64"/>
      <c r="G58" s="64"/>
      <c r="H58" s="63"/>
      <c r="I58" s="41"/>
      <c r="J58" s="41"/>
    </row>
    <row r="59" spans="2:10">
      <c r="B59" s="41"/>
      <c r="C59" s="41"/>
      <c r="D59" s="41"/>
      <c r="E59" s="64"/>
      <c r="F59" s="64"/>
      <c r="G59" s="64"/>
      <c r="H59" s="63"/>
      <c r="I59" s="41"/>
      <c r="J59" s="41"/>
    </row>
    <row r="60" spans="2:10">
      <c r="B60" s="41"/>
      <c r="C60" s="41"/>
      <c r="D60" s="41"/>
      <c r="E60" s="64"/>
      <c r="F60" s="64"/>
      <c r="G60" s="64"/>
      <c r="H60" s="63"/>
      <c r="I60" s="41"/>
      <c r="J60" s="41"/>
    </row>
    <row r="61" spans="2:10">
      <c r="B61" s="41"/>
      <c r="C61" s="41"/>
      <c r="D61" s="41"/>
      <c r="E61" s="64"/>
      <c r="F61" s="64"/>
      <c r="G61" s="64"/>
      <c r="H61" s="63"/>
      <c r="I61" s="41"/>
      <c r="J61" s="41"/>
    </row>
    <row r="62" spans="2:10">
      <c r="B62" s="41"/>
      <c r="C62" s="41"/>
      <c r="D62" s="41"/>
      <c r="E62" s="64"/>
      <c r="F62" s="64"/>
      <c r="G62" s="64"/>
      <c r="H62" s="63"/>
      <c r="I62" s="41"/>
      <c r="J62" s="41"/>
    </row>
    <row r="63" spans="2:10">
      <c r="B63" s="41"/>
      <c r="C63" s="41"/>
      <c r="D63" s="41"/>
      <c r="E63" s="64"/>
      <c r="F63" s="64"/>
      <c r="G63" s="64"/>
      <c r="H63" s="63"/>
      <c r="I63" s="41"/>
      <c r="J63" s="41"/>
    </row>
    <row r="64" spans="2:10">
      <c r="B64" s="41"/>
      <c r="C64" s="41"/>
      <c r="D64" s="41"/>
      <c r="E64" s="64"/>
      <c r="F64" s="64"/>
      <c r="G64" s="64"/>
      <c r="H64" s="63"/>
      <c r="I64" s="41"/>
      <c r="J64" s="41"/>
    </row>
    <row r="65" spans="2:10">
      <c r="B65" s="41"/>
      <c r="C65" s="41"/>
      <c r="D65" s="41"/>
      <c r="E65" s="64"/>
      <c r="F65" s="64"/>
      <c r="G65" s="64"/>
      <c r="H65" s="64"/>
      <c r="I65" s="41"/>
      <c r="J65" s="41"/>
    </row>
    <row r="66" spans="2:10">
      <c r="B66" s="41"/>
      <c r="C66" s="41"/>
      <c r="D66" s="41"/>
      <c r="E66" s="64"/>
      <c r="F66" s="64"/>
      <c r="G66" s="64"/>
      <c r="H66" s="63"/>
      <c r="I66" s="41"/>
      <c r="J66" s="41"/>
    </row>
    <row r="67" spans="2:10">
      <c r="B67" s="56"/>
      <c r="C67" s="56"/>
      <c r="D67" s="57"/>
      <c r="E67" s="65"/>
      <c r="F67" s="65"/>
      <c r="G67" s="65"/>
      <c r="H67" s="65"/>
      <c r="I67" s="41"/>
      <c r="J67" s="41"/>
    </row>
    <row r="68" spans="2:10">
      <c r="B68" s="41"/>
      <c r="C68" s="41"/>
      <c r="D68" s="41"/>
      <c r="E68" s="64"/>
      <c r="F68" s="64"/>
      <c r="G68" s="64"/>
      <c r="H68" s="63"/>
      <c r="I68" s="41"/>
      <c r="J68" s="41"/>
    </row>
    <row r="69" spans="2:10">
      <c r="B69" s="41"/>
      <c r="C69" s="41"/>
      <c r="D69" s="41"/>
      <c r="E69" s="63"/>
      <c r="F69" s="63"/>
      <c r="G69" s="63"/>
      <c r="H69" s="63"/>
      <c r="I69" s="41"/>
      <c r="J69" s="41"/>
    </row>
    <row r="70" spans="2:10">
      <c r="B70" s="41"/>
      <c r="C70" s="41"/>
      <c r="D70" s="51"/>
      <c r="E70" s="64"/>
      <c r="F70" s="64"/>
      <c r="G70" s="64"/>
      <c r="H70" s="64"/>
      <c r="I70" s="41"/>
      <c r="J70" s="41"/>
    </row>
    <row r="71" spans="2:10">
      <c r="B71" s="41"/>
      <c r="C71" s="41"/>
      <c r="D71" s="41"/>
      <c r="E71" s="66"/>
      <c r="F71" s="66"/>
      <c r="G71" s="66"/>
      <c r="H71" s="66"/>
      <c r="I71" s="41"/>
      <c r="J71" s="41"/>
    </row>
    <row r="72" spans="2:10">
      <c r="B72" s="41"/>
      <c r="C72" s="41"/>
      <c r="D72" s="41"/>
      <c r="E72" s="66"/>
      <c r="F72" s="66"/>
      <c r="G72" s="66"/>
      <c r="H72" s="66"/>
      <c r="I72" s="41"/>
      <c r="J72" s="41"/>
    </row>
    <row r="73" spans="2:10">
      <c r="B73" s="50"/>
      <c r="C73" s="50"/>
      <c r="D73" s="41"/>
      <c r="E73" s="67"/>
      <c r="F73" s="67"/>
      <c r="G73" s="67"/>
      <c r="H73" s="67"/>
      <c r="I73" s="41"/>
      <c r="J73" s="41"/>
    </row>
    <row r="74" spans="2:10">
      <c r="B74" s="41"/>
      <c r="C74" s="50"/>
      <c r="D74" s="51"/>
      <c r="E74" s="67"/>
      <c r="F74" s="67"/>
      <c r="G74" s="67"/>
      <c r="H74" s="67"/>
      <c r="I74" s="41"/>
      <c r="J74" s="41"/>
    </row>
    <row r="75" spans="2:10">
      <c r="B75" s="41"/>
      <c r="C75" s="50"/>
      <c r="D75" s="41"/>
      <c r="E75" s="67"/>
      <c r="F75" s="67"/>
      <c r="G75" s="67"/>
      <c r="H75" s="67"/>
      <c r="I75" s="41"/>
      <c r="J75" s="41"/>
    </row>
    <row r="76" spans="2:10">
      <c r="B76" s="41"/>
      <c r="C76" s="50"/>
      <c r="D76" s="41"/>
      <c r="E76" s="51"/>
      <c r="F76" s="51"/>
      <c r="G76" s="51"/>
      <c r="H76" s="51"/>
      <c r="I76" s="41"/>
      <c r="J76" s="41"/>
    </row>
    <row r="77" spans="2:10">
      <c r="B77" s="41"/>
      <c r="C77" s="41"/>
      <c r="D77" s="41"/>
      <c r="E77" s="68"/>
      <c r="F77" s="41"/>
      <c r="G77" s="41"/>
    </row>
    <row r="78" spans="2:10">
      <c r="B78" s="41"/>
      <c r="C78" s="41"/>
      <c r="D78" s="41"/>
      <c r="E78" s="41"/>
      <c r="F78" s="41"/>
      <c r="G78" s="41"/>
    </row>
    <row r="79" spans="2:10">
      <c r="B79" s="41"/>
      <c r="C79" s="41"/>
      <c r="D79" s="41"/>
      <c r="E79" s="41"/>
      <c r="F79" s="41"/>
      <c r="G79" s="41"/>
    </row>
    <row r="80" spans="2:10">
      <c r="B80" s="41"/>
      <c r="C80" s="41"/>
      <c r="D80" s="41"/>
      <c r="E80" s="41"/>
      <c r="F80" s="41"/>
      <c r="G80" s="41"/>
    </row>
  </sheetData>
  <pageMargins left="0.2" right="0.23" top="0.39" bottom="0.44" header="0.18" footer="0.24"/>
  <pageSetup orientation="landscape" r:id="rId1"/>
  <headerFooter alignWithMargins="0">
    <oddHeader>&amp;A</oddHeader>
    <oddFooter>&amp;RPage 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="60" zoomScaleNormal="100" workbookViewId="0">
      <selection activeCell="J19" sqref="J19"/>
    </sheetView>
  </sheetViews>
  <sheetFormatPr defaultRowHeight="13.2"/>
  <cols>
    <col min="1" max="1" width="16.33203125" customWidth="1"/>
    <col min="2" max="3" width="15.6640625" customWidth="1"/>
    <col min="4" max="4" width="21.33203125" customWidth="1"/>
    <col min="5" max="5" width="5.6640625" customWidth="1"/>
    <col min="6" max="6" width="9.6640625" customWidth="1"/>
    <col min="7" max="7" width="1.6640625" customWidth="1"/>
    <col min="8" max="8" width="9.6640625" customWidth="1"/>
    <col min="9" max="9" width="1.6640625" customWidth="1"/>
    <col min="10" max="10" width="9.6640625" customWidth="1"/>
    <col min="11" max="11" width="1.6640625" customWidth="1"/>
    <col min="12" max="12" width="9.6640625" customWidth="1"/>
    <col min="13" max="13" width="1.6640625" customWidth="1"/>
    <col min="14" max="14" width="9.6640625" customWidth="1"/>
  </cols>
  <sheetData>
    <row r="1" spans="1:14" ht="17.399999999999999">
      <c r="A1" s="9" t="s">
        <v>92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7.399999999999999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13" customFormat="1" ht="15.6">
      <c r="A3" s="11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5" spans="1:14" ht="13.8">
      <c r="F5" s="14" t="s">
        <v>5</v>
      </c>
      <c r="G5" s="15"/>
      <c r="H5" s="14" t="s">
        <v>6</v>
      </c>
      <c r="I5" s="15"/>
      <c r="J5" s="14" t="s">
        <v>7</v>
      </c>
      <c r="K5" s="15"/>
      <c r="L5" s="14" t="s">
        <v>8</v>
      </c>
      <c r="M5" s="15"/>
      <c r="N5" s="14" t="s">
        <v>9</v>
      </c>
    </row>
    <row r="6" spans="1:14" ht="6" customHeight="1" thickBot="1">
      <c r="F6" s="16"/>
      <c r="G6" s="15"/>
      <c r="H6" s="16"/>
      <c r="I6" s="15"/>
      <c r="J6" s="16"/>
      <c r="K6" s="15"/>
      <c r="L6" s="16"/>
      <c r="M6" s="15"/>
      <c r="N6" s="16"/>
    </row>
    <row r="7" spans="1:14" ht="14.4" thickBot="1">
      <c r="A7" s="17" t="s">
        <v>10</v>
      </c>
      <c r="B7" s="18"/>
      <c r="C7" s="18"/>
      <c r="D7" s="18"/>
      <c r="E7" s="18"/>
      <c r="F7" s="69">
        <v>19.7</v>
      </c>
      <c r="G7" s="69"/>
      <c r="H7" s="69">
        <v>24</v>
      </c>
      <c r="I7" s="69"/>
      <c r="J7" s="69">
        <v>22.8</v>
      </c>
      <c r="K7" s="69"/>
      <c r="L7" s="69">
        <v>24.4</v>
      </c>
      <c r="M7" s="70"/>
      <c r="N7" s="71">
        <f>SUM(F7:M7)</f>
        <v>90.9</v>
      </c>
    </row>
    <row r="8" spans="1:14" ht="6" customHeight="1">
      <c r="F8" s="72"/>
      <c r="G8" s="72"/>
      <c r="H8" s="72"/>
      <c r="I8" s="72"/>
      <c r="J8" s="72"/>
      <c r="K8" s="72"/>
      <c r="L8" s="72"/>
      <c r="M8" s="73"/>
      <c r="N8" s="73"/>
    </row>
    <row r="9" spans="1:14" ht="12.75" customHeight="1">
      <c r="F9" s="74"/>
      <c r="G9" s="74"/>
      <c r="H9" s="74"/>
      <c r="I9" s="74"/>
      <c r="J9" s="74"/>
      <c r="K9" s="74"/>
      <c r="L9" s="74"/>
      <c r="M9" s="75"/>
      <c r="N9" s="73"/>
    </row>
    <row r="10" spans="1:14" ht="12.75" customHeight="1">
      <c r="A10" s="26"/>
      <c r="F10" s="74"/>
      <c r="G10" s="74"/>
      <c r="H10" s="74"/>
      <c r="I10" s="74"/>
      <c r="J10" s="74"/>
      <c r="K10" s="74"/>
      <c r="L10" s="74"/>
      <c r="M10" s="75"/>
      <c r="N10" s="73"/>
    </row>
    <row r="11" spans="1:14" ht="12.75" customHeight="1">
      <c r="A11" s="26" t="s">
        <v>93</v>
      </c>
      <c r="F11" s="76"/>
      <c r="G11" s="74"/>
      <c r="H11" s="74">
        <v>-0.2</v>
      </c>
      <c r="I11" s="74"/>
      <c r="J11" s="74">
        <v>0.1</v>
      </c>
      <c r="K11" s="74"/>
      <c r="L11" s="74">
        <v>0.2</v>
      </c>
      <c r="M11" s="75"/>
      <c r="N11" s="73">
        <f t="shared" ref="N11:N19" si="0">SUM(F11:L11)</f>
        <v>0.1</v>
      </c>
    </row>
    <row r="12" spans="1:14">
      <c r="A12" s="26" t="s">
        <v>94</v>
      </c>
      <c r="F12" s="74">
        <f>0.2+0.3+0.4-0.2</f>
        <v>0.7</v>
      </c>
      <c r="G12" s="74"/>
      <c r="H12" s="74"/>
      <c r="I12" s="74"/>
      <c r="J12" s="74">
        <v>-0.1</v>
      </c>
      <c r="K12" s="74"/>
      <c r="L12" s="74">
        <f>-0.1-0.4</f>
        <v>-0.5</v>
      </c>
      <c r="M12" s="75"/>
      <c r="N12" s="73">
        <f t="shared" si="0"/>
        <v>9.9999999999999978E-2</v>
      </c>
    </row>
    <row r="13" spans="1:14">
      <c r="A13" s="26" t="s">
        <v>95</v>
      </c>
      <c r="F13" s="74"/>
      <c r="G13" s="74"/>
      <c r="H13" s="74">
        <v>-0.1</v>
      </c>
      <c r="I13" s="74"/>
      <c r="J13" s="74"/>
      <c r="K13" s="74"/>
      <c r="L13" s="74">
        <v>-0.1</v>
      </c>
      <c r="M13" s="75"/>
      <c r="N13" s="73">
        <f t="shared" si="0"/>
        <v>-0.2</v>
      </c>
    </row>
    <row r="14" spans="1:14">
      <c r="A14" s="26" t="s">
        <v>96</v>
      </c>
      <c r="F14" s="74">
        <v>0.4</v>
      </c>
      <c r="G14" s="74"/>
      <c r="H14" s="74"/>
      <c r="I14" s="74"/>
      <c r="J14" s="74"/>
      <c r="K14" s="74"/>
      <c r="L14" s="74"/>
      <c r="M14" s="75"/>
      <c r="N14" s="73">
        <f t="shared" si="0"/>
        <v>0.4</v>
      </c>
    </row>
    <row r="15" spans="1:14">
      <c r="A15" s="26" t="s">
        <v>97</v>
      </c>
      <c r="F15" s="74">
        <v>0.1</v>
      </c>
      <c r="G15" s="74"/>
      <c r="H15" s="74"/>
      <c r="I15" s="74"/>
      <c r="J15" s="74"/>
      <c r="K15" s="74"/>
      <c r="L15" s="74"/>
      <c r="M15" s="75"/>
      <c r="N15" s="73">
        <f t="shared" si="0"/>
        <v>0.1</v>
      </c>
    </row>
    <row r="16" spans="1:14">
      <c r="A16" s="26" t="s">
        <v>98</v>
      </c>
      <c r="F16" s="74"/>
      <c r="G16" s="74"/>
      <c r="H16" s="74">
        <v>0.4</v>
      </c>
      <c r="I16" s="74"/>
      <c r="J16" s="74"/>
      <c r="K16" s="74"/>
      <c r="L16" s="74"/>
      <c r="M16" s="75"/>
      <c r="N16" s="73">
        <f t="shared" si="0"/>
        <v>0.4</v>
      </c>
    </row>
    <row r="17" spans="1:14">
      <c r="A17" s="26" t="s">
        <v>99</v>
      </c>
      <c r="F17" s="74"/>
      <c r="G17" s="74"/>
      <c r="H17" s="74">
        <f>-0.1-0.2</f>
        <v>-0.30000000000000004</v>
      </c>
      <c r="I17" s="74"/>
      <c r="J17" s="74">
        <f>-0.1-0.2</f>
        <v>-0.30000000000000004</v>
      </c>
      <c r="K17" s="74"/>
      <c r="L17" s="74">
        <f>-0.1-0.5</f>
        <v>-0.6</v>
      </c>
      <c r="M17" s="75"/>
      <c r="N17" s="73">
        <f t="shared" si="0"/>
        <v>-1.2000000000000002</v>
      </c>
    </row>
    <row r="18" spans="1:14">
      <c r="A18" s="26" t="s">
        <v>100</v>
      </c>
      <c r="F18" s="74">
        <v>0.1</v>
      </c>
      <c r="G18" s="74"/>
      <c r="H18" s="74"/>
      <c r="I18" s="74"/>
      <c r="J18" s="74"/>
      <c r="K18" s="74"/>
      <c r="L18" s="74"/>
      <c r="M18" s="75"/>
      <c r="N18" s="73">
        <f t="shared" si="0"/>
        <v>0.1</v>
      </c>
    </row>
    <row r="19" spans="1:14">
      <c r="A19" s="26" t="s">
        <v>101</v>
      </c>
      <c r="F19" s="77">
        <v>0.1</v>
      </c>
      <c r="G19" s="74"/>
      <c r="H19" s="77"/>
      <c r="I19" s="74"/>
      <c r="J19" s="77"/>
      <c r="K19" s="74"/>
      <c r="L19" s="77">
        <v>0.1</v>
      </c>
      <c r="M19" s="75"/>
      <c r="N19" s="78">
        <f t="shared" si="0"/>
        <v>0.2</v>
      </c>
    </row>
    <row r="20" spans="1:14" ht="6" customHeight="1">
      <c r="A20" s="26"/>
      <c r="F20" s="73"/>
      <c r="G20" s="73"/>
      <c r="H20" s="73"/>
      <c r="I20" s="73"/>
      <c r="J20" s="73"/>
      <c r="K20" s="73"/>
      <c r="L20" s="73"/>
      <c r="M20" s="73"/>
      <c r="N20" s="73"/>
    </row>
    <row r="21" spans="1:14">
      <c r="A21" s="26"/>
      <c r="B21" t="s">
        <v>35</v>
      </c>
      <c r="F21" s="78">
        <f>SUM(F9:F20)</f>
        <v>1.4000000000000004</v>
      </c>
      <c r="G21" s="73"/>
      <c r="H21" s="78">
        <f>SUM(H9:H20)</f>
        <v>-0.20000000000000007</v>
      </c>
      <c r="I21" s="73"/>
      <c r="J21" s="78">
        <f>SUM(J9:J20)</f>
        <v>-0.30000000000000004</v>
      </c>
      <c r="K21" s="73"/>
      <c r="L21" s="78">
        <f>SUM(L9:L20)</f>
        <v>-0.9</v>
      </c>
      <c r="M21" s="73"/>
      <c r="N21" s="78">
        <f>SUM(N9:N20)</f>
        <v>0</v>
      </c>
    </row>
    <row r="22" spans="1:14" ht="6" customHeight="1" thickBot="1">
      <c r="F22" s="79"/>
      <c r="G22" s="73"/>
      <c r="H22" s="79"/>
      <c r="I22" s="79"/>
      <c r="J22" s="79"/>
      <c r="K22" s="79"/>
      <c r="L22" s="79"/>
      <c r="M22" s="79"/>
      <c r="N22" s="79"/>
    </row>
    <row r="23" spans="1:14" ht="15.75" customHeight="1" thickBot="1">
      <c r="A23" s="17" t="s">
        <v>36</v>
      </c>
      <c r="B23" s="33"/>
      <c r="C23" s="33"/>
      <c r="D23" s="33"/>
      <c r="E23" s="33"/>
      <c r="F23" s="80">
        <f>+F7+F21</f>
        <v>21.1</v>
      </c>
      <c r="G23" s="80"/>
      <c r="H23" s="80">
        <f>+H7+H21</f>
        <v>23.8</v>
      </c>
      <c r="I23" s="80"/>
      <c r="J23" s="80">
        <f>+J7+J21</f>
        <v>22.5</v>
      </c>
      <c r="K23" s="80"/>
      <c r="L23" s="80">
        <f>+L7+L21</f>
        <v>23.5</v>
      </c>
      <c r="M23" s="80"/>
      <c r="N23" s="81">
        <f>+N7+N21</f>
        <v>90.9</v>
      </c>
    </row>
    <row r="24" spans="1:14" ht="12.75" customHeight="1">
      <c r="F24" s="79"/>
      <c r="G24" s="79"/>
      <c r="H24" s="79"/>
      <c r="I24" s="79"/>
      <c r="J24" s="79"/>
      <c r="K24" s="79"/>
      <c r="L24" s="79"/>
      <c r="M24" s="79"/>
      <c r="N24" s="79"/>
    </row>
    <row r="25" spans="1:14" ht="12.75" customHeight="1">
      <c r="F25" s="79"/>
      <c r="G25" s="79"/>
      <c r="H25" s="79"/>
      <c r="I25" s="79"/>
      <c r="J25" s="79"/>
      <c r="K25" s="79"/>
      <c r="L25" s="79"/>
      <c r="M25" s="79"/>
      <c r="N25" s="79"/>
    </row>
    <row r="26" spans="1:14" ht="12.75" customHeight="1">
      <c r="A26" s="82" t="s">
        <v>102</v>
      </c>
      <c r="B26" s="83"/>
      <c r="C26" s="84"/>
      <c r="D26" s="85"/>
      <c r="E26" s="85"/>
      <c r="F26" s="86"/>
      <c r="G26" s="85"/>
      <c r="H26" s="85"/>
      <c r="I26" s="85"/>
      <c r="J26" s="85"/>
      <c r="K26" s="85"/>
      <c r="L26" s="85"/>
      <c r="M26" s="85"/>
      <c r="N26" s="87"/>
    </row>
    <row r="27" spans="1:14" ht="12.75" customHeight="1">
      <c r="A27" s="88"/>
      <c r="B27" s="41"/>
      <c r="C27" s="41"/>
      <c r="D27" s="41"/>
      <c r="E27" s="41"/>
      <c r="F27" s="89"/>
      <c r="G27" s="41"/>
      <c r="H27" s="41"/>
      <c r="I27" s="41"/>
      <c r="J27" s="41"/>
      <c r="K27" s="41"/>
      <c r="L27" s="41"/>
      <c r="M27" s="41"/>
      <c r="N27" s="90"/>
    </row>
    <row r="28" spans="1:14" ht="12.75" customHeight="1">
      <c r="A28" s="91" t="s">
        <v>103</v>
      </c>
      <c r="B28" s="41"/>
      <c r="C28" s="41"/>
      <c r="D28" s="41"/>
      <c r="E28" s="41"/>
      <c r="F28" s="92">
        <v>2.3650000000000002</v>
      </c>
      <c r="G28" s="41"/>
      <c r="H28" s="92">
        <v>2.3650000000000002</v>
      </c>
      <c r="I28" s="92"/>
      <c r="J28" s="92">
        <v>2.3650000000000002</v>
      </c>
      <c r="K28" s="92"/>
      <c r="L28" s="92">
        <v>2.3650000000000002</v>
      </c>
      <c r="M28" s="92"/>
      <c r="N28" s="93">
        <f>SUM(F28:L28)/4</f>
        <v>2.3650000000000002</v>
      </c>
    </row>
    <row r="29" spans="1:14" ht="12.75" customHeight="1">
      <c r="A29" s="91" t="s">
        <v>104</v>
      </c>
      <c r="B29" s="41"/>
      <c r="C29" s="41"/>
      <c r="D29" s="41"/>
      <c r="E29" s="41"/>
      <c r="F29" s="92">
        <v>2.5459999999999998</v>
      </c>
      <c r="G29" s="41"/>
      <c r="H29" s="92">
        <v>2.2370000000000001</v>
      </c>
      <c r="I29" s="92"/>
      <c r="J29" s="92">
        <v>2.2410000000000001</v>
      </c>
      <c r="K29" s="92"/>
      <c r="L29" s="92">
        <v>2.4300000000000002</v>
      </c>
      <c r="M29" s="92"/>
      <c r="N29" s="93">
        <f>SUM(F29:L29)/4</f>
        <v>2.3634999999999997</v>
      </c>
    </row>
    <row r="30" spans="1:14" ht="12.75" customHeight="1">
      <c r="A30" s="94" t="s">
        <v>105</v>
      </c>
      <c r="B30" s="95"/>
      <c r="C30" s="95"/>
      <c r="D30" s="95"/>
      <c r="E30" s="95"/>
      <c r="F30" s="96">
        <v>2.42</v>
      </c>
      <c r="G30" s="95"/>
      <c r="H30" s="96"/>
      <c r="I30" s="96"/>
      <c r="J30" s="96"/>
      <c r="K30" s="96"/>
      <c r="L30" s="96"/>
      <c r="M30" s="96"/>
      <c r="N30" s="97"/>
    </row>
    <row r="31" spans="1:14" ht="12.75" customHeight="1" thickBot="1">
      <c r="F31" s="79"/>
      <c r="G31" s="79"/>
      <c r="H31" s="79"/>
      <c r="I31" s="79"/>
      <c r="J31" s="79"/>
      <c r="K31" s="79"/>
      <c r="L31" s="79"/>
      <c r="M31" s="79"/>
      <c r="N31" s="79"/>
    </row>
    <row r="32" spans="1:14" ht="15.75" customHeight="1" thickBot="1">
      <c r="A32" s="17" t="s">
        <v>37</v>
      </c>
      <c r="B32" s="33"/>
      <c r="C32" s="33"/>
      <c r="D32" s="33"/>
      <c r="E32" s="33"/>
      <c r="F32" s="80">
        <v>12.1</v>
      </c>
      <c r="G32" s="80"/>
      <c r="H32" s="80">
        <v>15.6</v>
      </c>
      <c r="I32" s="80"/>
      <c r="J32" s="80">
        <v>16</v>
      </c>
      <c r="K32" s="80"/>
      <c r="L32" s="80">
        <v>17</v>
      </c>
      <c r="M32" s="80"/>
      <c r="N32" s="81">
        <f>SUM(F32:L32)</f>
        <v>60.7</v>
      </c>
    </row>
    <row r="33" spans="1:14" ht="6" customHeight="1">
      <c r="A33" s="39" t="s">
        <v>38</v>
      </c>
      <c r="F33" s="72"/>
      <c r="G33" s="72"/>
      <c r="H33" s="72"/>
      <c r="I33" s="72"/>
      <c r="J33" s="72"/>
      <c r="K33" s="72"/>
      <c r="L33" s="72"/>
      <c r="M33" s="73"/>
      <c r="N33" s="73"/>
    </row>
    <row r="34" spans="1:14">
      <c r="A34" s="26" t="s">
        <v>39</v>
      </c>
      <c r="B34" s="41"/>
      <c r="C34" s="41"/>
      <c r="D34" s="41"/>
      <c r="E34" s="41"/>
      <c r="F34" s="98">
        <f>F21*0.6112</f>
        <v>0.85568000000000022</v>
      </c>
      <c r="G34" s="99"/>
      <c r="H34" s="98">
        <f>H21*0.6112</f>
        <v>-0.12224000000000003</v>
      </c>
      <c r="I34" s="99"/>
      <c r="J34" s="98">
        <f>J21*0.6112</f>
        <v>-0.18336000000000002</v>
      </c>
      <c r="K34" s="99"/>
      <c r="L34" s="98">
        <f>L21*0.6112</f>
        <v>-0.55008000000000001</v>
      </c>
      <c r="M34" s="79"/>
      <c r="N34" s="79">
        <f>SUM(F34:L34)</f>
        <v>0</v>
      </c>
    </row>
    <row r="35" spans="1:14" ht="13.8">
      <c r="A35" s="26" t="s">
        <v>40</v>
      </c>
      <c r="B35" s="41"/>
      <c r="C35" s="41"/>
      <c r="D35" s="41"/>
      <c r="E35" s="41"/>
      <c r="F35" s="100">
        <v>0.2</v>
      </c>
      <c r="G35" s="101"/>
      <c r="H35" s="102"/>
      <c r="I35" s="100"/>
      <c r="J35" s="100">
        <v>0.1</v>
      </c>
      <c r="K35" s="100"/>
      <c r="L35" s="100">
        <v>0.1</v>
      </c>
      <c r="M35" s="101"/>
      <c r="N35" s="79">
        <f>SUM(F35:L35)</f>
        <v>0.4</v>
      </c>
    </row>
    <row r="36" spans="1:14" ht="13.8">
      <c r="A36" s="27" t="s">
        <v>106</v>
      </c>
      <c r="B36" s="41"/>
      <c r="C36" s="41"/>
      <c r="D36" s="41"/>
      <c r="E36" s="41"/>
      <c r="F36" s="103"/>
      <c r="G36" s="101"/>
      <c r="H36" s="104"/>
      <c r="I36" s="101"/>
      <c r="J36" s="105">
        <v>-0.1</v>
      </c>
      <c r="K36" s="101"/>
      <c r="L36" s="105"/>
      <c r="M36" s="101"/>
      <c r="N36" s="78">
        <f>SUM(F36:L36)</f>
        <v>-0.1</v>
      </c>
    </row>
    <row r="37" spans="1:14" ht="13.8">
      <c r="A37" s="36"/>
      <c r="B37" t="s">
        <v>35</v>
      </c>
      <c r="F37" s="78">
        <f>SUM(F34:F36)</f>
        <v>1.0556800000000002</v>
      </c>
      <c r="G37" s="79"/>
      <c r="H37" s="78">
        <f>SUM(H34:H36)</f>
        <v>-0.12224000000000003</v>
      </c>
      <c r="I37" s="79"/>
      <c r="J37" s="78">
        <f>SUM(J34:J36)</f>
        <v>-0.18336000000000002</v>
      </c>
      <c r="K37" s="79"/>
      <c r="L37" s="78">
        <f>SUM(L34:L36)</f>
        <v>-0.45008000000000004</v>
      </c>
      <c r="M37" s="79"/>
      <c r="N37" s="78">
        <f>SUM(N34:N36)</f>
        <v>0.30000000000000004</v>
      </c>
    </row>
    <row r="38" spans="1:14" ht="6" customHeight="1" thickBot="1">
      <c r="A38" s="44"/>
      <c r="F38" s="106"/>
      <c r="G38" s="73"/>
      <c r="H38" s="106"/>
      <c r="I38" s="73"/>
      <c r="J38" s="106"/>
      <c r="K38" s="73"/>
      <c r="L38" s="106"/>
      <c r="M38" s="73"/>
      <c r="N38" s="106"/>
    </row>
    <row r="39" spans="1:14" ht="14.4" thickBot="1">
      <c r="A39" s="17" t="s">
        <v>44</v>
      </c>
      <c r="B39" s="42"/>
      <c r="C39" s="42"/>
      <c r="D39" s="42"/>
      <c r="E39" s="42"/>
      <c r="F39" s="80">
        <f>+F37+F32</f>
        <v>13.15568</v>
      </c>
      <c r="G39" s="107"/>
      <c r="H39" s="80">
        <f>+H37+H32</f>
        <v>15.47776</v>
      </c>
      <c r="I39" s="107"/>
      <c r="J39" s="80">
        <f>+J37+J32</f>
        <v>15.81664</v>
      </c>
      <c r="K39" s="107"/>
      <c r="L39" s="80">
        <f>+L37+L32</f>
        <v>16.54992</v>
      </c>
      <c r="M39" s="107"/>
      <c r="N39" s="81">
        <f>+N37+N32</f>
        <v>61</v>
      </c>
    </row>
    <row r="42" spans="1:14" ht="6.75" customHeight="1"/>
    <row r="46" spans="1:14">
      <c r="F46" s="108"/>
    </row>
    <row r="47" spans="1:14">
      <c r="F47" s="108"/>
    </row>
    <row r="48" spans="1:14">
      <c r="A48" s="47" t="str">
        <f ca="1">CELL("filename")</f>
        <v>L:\2000CE\Forecasts\[MarchForecast.xls]updown</v>
      </c>
      <c r="F48" s="108"/>
    </row>
    <row r="49" spans="6:6">
      <c r="F49" s="109"/>
    </row>
  </sheetData>
  <printOptions horizontalCentered="1"/>
  <pageMargins left="0.5" right="0.5" top="0.5" bottom="0.25" header="0.5" footer="0.5"/>
  <pageSetup scale="93" orientation="landscape" r:id="rId1"/>
  <headerFooter alignWithMargins="0">
    <oddFooter>&amp;RPage 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1"/>
  <sheetViews>
    <sheetView topLeftCell="A26" workbookViewId="0">
      <selection activeCell="T41" sqref="T41"/>
    </sheetView>
  </sheetViews>
  <sheetFormatPr defaultRowHeight="13.2"/>
  <cols>
    <col min="4" max="4" width="15" customWidth="1"/>
    <col min="5" max="5" width="9.33203125" customWidth="1"/>
    <col min="8" max="17" width="9.109375" hidden="1" customWidth="1"/>
    <col min="19" max="19" width="2.6640625" customWidth="1"/>
  </cols>
  <sheetData>
    <row r="1" spans="2:20">
      <c r="B1" s="50" t="s">
        <v>107</v>
      </c>
      <c r="C1" s="41"/>
      <c r="D1" s="41"/>
      <c r="E1" s="49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2:20">
      <c r="B2" s="50" t="s">
        <v>46</v>
      </c>
      <c r="C2" s="41"/>
      <c r="D2" s="41"/>
      <c r="E2" s="49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2:20">
      <c r="B3" s="50" t="s">
        <v>47</v>
      </c>
      <c r="C3" s="41"/>
      <c r="D3" s="41"/>
      <c r="E3" s="49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2:20">
      <c r="B4" s="50" t="s">
        <v>48</v>
      </c>
      <c r="C4" s="41"/>
      <c r="D4" s="41"/>
      <c r="E4" s="49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2:20">
      <c r="B5" s="50"/>
      <c r="C5" s="41"/>
      <c r="D5" s="41"/>
      <c r="E5" s="49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2:20"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R6" s="110" t="s">
        <v>5</v>
      </c>
      <c r="S6" s="110"/>
    </row>
    <row r="7" spans="2:20">
      <c r="B7" s="41"/>
      <c r="C7" s="41"/>
      <c r="D7" s="51"/>
      <c r="E7" s="111" t="s">
        <v>50</v>
      </c>
      <c r="F7" s="95" t="s">
        <v>51</v>
      </c>
      <c r="G7" s="95" t="s">
        <v>52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112" t="s">
        <v>9</v>
      </c>
      <c r="S7" s="113"/>
    </row>
    <row r="8" spans="2:20">
      <c r="B8" s="41"/>
      <c r="C8" s="41"/>
      <c r="D8" s="51"/>
      <c r="E8" s="5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2:20">
      <c r="B9" s="41" t="s">
        <v>108</v>
      </c>
      <c r="C9" s="41"/>
      <c r="D9" s="51"/>
      <c r="E9" s="61">
        <v>-2.7E-2</v>
      </c>
      <c r="F9" s="61">
        <v>-2.5999999999999999E-2</v>
      </c>
      <c r="G9" s="61">
        <v>-2.7E-2</v>
      </c>
      <c r="H9" s="61"/>
      <c r="I9" s="61"/>
      <c r="J9" s="61"/>
      <c r="K9" s="61"/>
      <c r="L9" s="61"/>
      <c r="M9" s="61"/>
      <c r="N9" s="61"/>
      <c r="O9" s="61"/>
      <c r="P9" s="61"/>
      <c r="Q9" s="114"/>
      <c r="R9" s="115">
        <f>SUM(E9:Q9)</f>
        <v>-0.08</v>
      </c>
      <c r="S9" s="115"/>
      <c r="T9" t="s">
        <v>109</v>
      </c>
    </row>
    <row r="10" spans="2:20">
      <c r="B10" s="41"/>
      <c r="C10" s="41"/>
      <c r="D10" s="41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15"/>
    </row>
    <row r="11" spans="2:20">
      <c r="B11" s="41" t="s">
        <v>110</v>
      </c>
      <c r="C11" s="41"/>
      <c r="D11" s="51"/>
      <c r="E11" s="61">
        <v>-0.05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116"/>
      <c r="R11" s="115">
        <f>SUM(E11:Q11)</f>
        <v>-0.05</v>
      </c>
      <c r="S11" s="115"/>
      <c r="T11" s="117" t="s">
        <v>111</v>
      </c>
    </row>
    <row r="12" spans="2:20">
      <c r="B12" s="41"/>
      <c r="C12" s="41"/>
      <c r="D12" s="41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115"/>
    </row>
    <row r="13" spans="2:20">
      <c r="B13" s="41" t="s">
        <v>112</v>
      </c>
      <c r="C13" s="41"/>
      <c r="D13" s="41"/>
      <c r="E13" s="64"/>
      <c r="F13" s="64">
        <v>-0.1</v>
      </c>
      <c r="G13" s="64">
        <v>-0.11</v>
      </c>
      <c r="H13" s="64"/>
      <c r="I13" s="64"/>
      <c r="J13" s="64"/>
      <c r="K13" s="64"/>
      <c r="L13" s="64"/>
      <c r="M13" s="64"/>
      <c r="N13" s="64"/>
      <c r="O13" s="64"/>
      <c r="P13" s="64"/>
      <c r="Q13" s="115"/>
      <c r="R13" s="115">
        <f>SUM(E13:Q13)</f>
        <v>-0.21000000000000002</v>
      </c>
      <c r="S13" s="115"/>
      <c r="T13" t="s">
        <v>113</v>
      </c>
    </row>
    <row r="14" spans="2:20">
      <c r="B14" s="41"/>
      <c r="C14" s="41"/>
      <c r="D14" s="41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115"/>
    </row>
    <row r="15" spans="2:20">
      <c r="B15" s="41" t="s">
        <v>114</v>
      </c>
      <c r="C15" s="41"/>
      <c r="D15" s="41"/>
      <c r="E15" s="64">
        <v>-3.9E-2</v>
      </c>
      <c r="F15" s="64">
        <v>-3.6249999999999998E-2</v>
      </c>
      <c r="G15" s="64">
        <v>-3.875E-2</v>
      </c>
      <c r="H15" s="64"/>
      <c r="I15" s="64"/>
      <c r="J15" s="64"/>
      <c r="K15" s="64"/>
      <c r="L15" s="64"/>
      <c r="M15" s="64"/>
      <c r="N15" s="64"/>
      <c r="O15" s="64"/>
      <c r="P15" s="64"/>
      <c r="Q15" s="115"/>
      <c r="R15" s="115">
        <f>SUM(E15:Q15)</f>
        <v>-0.11399999999999999</v>
      </c>
      <c r="S15" s="115"/>
      <c r="T15" t="s">
        <v>115</v>
      </c>
    </row>
    <row r="16" spans="2:20">
      <c r="B16" s="41"/>
      <c r="C16" s="41"/>
      <c r="D16" s="41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115"/>
    </row>
    <row r="17" spans="2:20">
      <c r="B17" s="41" t="s">
        <v>116</v>
      </c>
      <c r="C17" s="41"/>
      <c r="D17" s="41"/>
      <c r="E17" s="64">
        <v>-0.01</v>
      </c>
      <c r="F17" s="64">
        <v>-0.01</v>
      </c>
      <c r="G17" s="64">
        <v>-0.01</v>
      </c>
      <c r="H17" s="64"/>
      <c r="I17" s="64"/>
      <c r="J17" s="64"/>
      <c r="K17" s="64"/>
      <c r="L17" s="64"/>
      <c r="M17" s="64"/>
      <c r="N17" s="64"/>
      <c r="O17" s="64"/>
      <c r="P17" s="64"/>
      <c r="Q17" s="115"/>
      <c r="R17" s="115">
        <f>SUM(E17:Q17)</f>
        <v>-0.03</v>
      </c>
      <c r="S17" s="115"/>
      <c r="T17" t="s">
        <v>117</v>
      </c>
    </row>
    <row r="18" spans="2:20">
      <c r="B18" s="41"/>
      <c r="C18" s="41"/>
      <c r="D18" s="41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115"/>
    </row>
    <row r="19" spans="2:20">
      <c r="B19" s="41" t="s">
        <v>118</v>
      </c>
      <c r="C19" s="41"/>
      <c r="D19" s="41"/>
      <c r="E19" s="64"/>
      <c r="F19" s="64"/>
      <c r="G19" s="64">
        <v>-0.01</v>
      </c>
      <c r="H19" s="64"/>
      <c r="I19" s="64"/>
      <c r="J19" s="64"/>
      <c r="K19" s="64"/>
      <c r="L19" s="64"/>
      <c r="M19" s="64"/>
      <c r="N19" s="64"/>
      <c r="O19" s="64"/>
      <c r="P19" s="64"/>
      <c r="Q19" s="115"/>
      <c r="R19" s="115">
        <f>SUM(E19:Q19)</f>
        <v>-0.01</v>
      </c>
      <c r="S19" s="115"/>
      <c r="T19" t="s">
        <v>119</v>
      </c>
    </row>
    <row r="20" spans="2:20">
      <c r="B20" s="41"/>
      <c r="C20" s="41"/>
      <c r="D20" s="41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115"/>
    </row>
    <row r="21" spans="2:20">
      <c r="B21" s="41" t="s">
        <v>120</v>
      </c>
      <c r="C21" s="41"/>
      <c r="D21" s="41"/>
      <c r="E21" s="64">
        <v>-0.01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115"/>
      <c r="R21" s="115">
        <f>SUM(E21:Q21)</f>
        <v>-0.01</v>
      </c>
      <c r="S21" s="115"/>
    </row>
    <row r="22" spans="2:20">
      <c r="B22" s="41"/>
      <c r="C22" s="41"/>
      <c r="D22" s="41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115"/>
    </row>
    <row r="23" spans="2:20">
      <c r="B23" s="41" t="s">
        <v>112</v>
      </c>
      <c r="C23" s="41"/>
      <c r="D23" s="41"/>
      <c r="E23" s="64"/>
      <c r="F23" s="64"/>
      <c r="G23" s="64">
        <v>-0.02</v>
      </c>
      <c r="H23" s="64"/>
      <c r="I23" s="64"/>
      <c r="J23" s="64"/>
      <c r="K23" s="64"/>
      <c r="L23" s="64"/>
      <c r="M23" s="64"/>
      <c r="N23" s="64"/>
      <c r="O23" s="64"/>
      <c r="P23" s="64"/>
      <c r="Q23" s="115"/>
      <c r="R23" s="115">
        <f>SUM(E23:Q23)</f>
        <v>-0.02</v>
      </c>
      <c r="S23" s="115"/>
      <c r="T23" t="s">
        <v>121</v>
      </c>
    </row>
    <row r="24" spans="2:20">
      <c r="B24" s="41"/>
      <c r="C24" s="41"/>
      <c r="D24" s="41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115"/>
    </row>
    <row r="25" spans="2:20">
      <c r="B25" s="41" t="s">
        <v>122</v>
      </c>
      <c r="C25" s="41"/>
      <c r="D25" s="41"/>
      <c r="E25" s="64">
        <v>0.04</v>
      </c>
      <c r="F25" s="64">
        <v>0.04</v>
      </c>
      <c r="G25" s="64">
        <f>0.04-0.02</f>
        <v>0.02</v>
      </c>
      <c r="H25" s="64"/>
      <c r="I25" s="64"/>
      <c r="J25" s="64"/>
      <c r="K25" s="64"/>
      <c r="L25" s="64"/>
      <c r="M25" s="64"/>
      <c r="N25" s="64"/>
      <c r="O25" s="64"/>
      <c r="P25" s="64"/>
      <c r="Q25" s="115"/>
      <c r="R25" s="115">
        <f>SUM(E25:Q25)</f>
        <v>0.1</v>
      </c>
      <c r="S25" s="115"/>
      <c r="T25" t="s">
        <v>123</v>
      </c>
    </row>
    <row r="26" spans="2:20">
      <c r="B26" s="41"/>
      <c r="C26" s="41"/>
      <c r="D26" s="41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115"/>
    </row>
    <row r="27" spans="2:20">
      <c r="B27" s="41" t="s">
        <v>124</v>
      </c>
      <c r="C27" s="41"/>
      <c r="D27" s="41"/>
      <c r="E27" s="64">
        <v>0.1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115"/>
      <c r="R27" s="115">
        <f>SUM(E27:Q27)</f>
        <v>0.1</v>
      </c>
      <c r="S27" s="115"/>
    </row>
    <row r="28" spans="2:20">
      <c r="B28" s="41"/>
      <c r="C28" s="41"/>
      <c r="D28" s="41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115"/>
    </row>
    <row r="29" spans="2:20">
      <c r="B29" s="41" t="s">
        <v>125</v>
      </c>
      <c r="C29" s="41"/>
      <c r="D29" s="41"/>
      <c r="E29" s="64"/>
      <c r="F29" s="64">
        <v>-0.1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115"/>
      <c r="R29" s="115">
        <f>SUM(E29:Q29)</f>
        <v>-0.1</v>
      </c>
      <c r="S29" s="115"/>
      <c r="T29" t="s">
        <v>126</v>
      </c>
    </row>
    <row r="30" spans="2:20">
      <c r="B30" s="41"/>
      <c r="C30" s="41"/>
      <c r="D30" s="41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115"/>
    </row>
    <row r="31" spans="2:20">
      <c r="B31" s="41" t="s">
        <v>127</v>
      </c>
      <c r="C31" s="41"/>
      <c r="D31" s="41"/>
      <c r="E31" s="118">
        <v>0.15</v>
      </c>
      <c r="F31" s="64">
        <v>0.2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115"/>
      <c r="R31" s="115">
        <f>SUM(E31:Q31)</f>
        <v>0.35</v>
      </c>
      <c r="S31" s="115"/>
    </row>
    <row r="32" spans="2:20">
      <c r="B32" s="41"/>
      <c r="C32" s="41"/>
      <c r="D32" s="41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  <c r="R32" s="95"/>
      <c r="S32" s="41"/>
    </row>
    <row r="33" spans="2:20">
      <c r="B33" s="41" t="s">
        <v>128</v>
      </c>
      <c r="C33" s="41"/>
      <c r="D33" s="41"/>
      <c r="E33" s="64">
        <f>SUM(E9:E32)</f>
        <v>0.154</v>
      </c>
      <c r="F33" s="64">
        <f>SUM(F9:F32)</f>
        <v>-3.2250000000000001E-2</v>
      </c>
      <c r="G33" s="64">
        <f>SUM(G9:G32)</f>
        <v>-0.19575000000000004</v>
      </c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115">
        <f>SUM(R9:R32)</f>
        <v>-7.4000000000000066E-2</v>
      </c>
      <c r="S33" s="115"/>
    </row>
    <row r="34" spans="2:20">
      <c r="B34" s="41"/>
      <c r="C34" s="41"/>
      <c r="D34" s="41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115"/>
    </row>
    <row r="35" spans="2:20">
      <c r="B35" s="56" t="s">
        <v>129</v>
      </c>
      <c r="C35" s="56"/>
      <c r="D35" s="57"/>
      <c r="E35" s="65">
        <v>0.4</v>
      </c>
      <c r="F35" s="65">
        <v>-0.03</v>
      </c>
      <c r="G35" s="65">
        <v>8.4790000000000004E-2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115">
        <f>SUM(E35:Q35)</f>
        <v>0.45479000000000003</v>
      </c>
      <c r="S35" s="115"/>
      <c r="T35" t="s">
        <v>130</v>
      </c>
    </row>
    <row r="36" spans="2:20">
      <c r="B36" s="41" t="s">
        <v>131</v>
      </c>
      <c r="C36" s="41"/>
      <c r="D36" s="41"/>
      <c r="E36" s="64"/>
      <c r="F36" s="64">
        <f>0.07+0.02</f>
        <v>9.0000000000000011E-2</v>
      </c>
      <c r="G36" s="64">
        <f>-0.18-0.08</f>
        <v>-0.26</v>
      </c>
      <c r="H36" s="64"/>
      <c r="I36" s="64"/>
      <c r="J36" s="64"/>
      <c r="K36" s="64"/>
      <c r="L36" s="64"/>
      <c r="M36" s="64"/>
      <c r="N36" s="64"/>
      <c r="O36" s="64"/>
      <c r="P36" s="64"/>
      <c r="Q36" s="65"/>
      <c r="R36" s="115">
        <f>SUM(E36:Q36)</f>
        <v>-0.16999999999999998</v>
      </c>
      <c r="S36" s="115"/>
    </row>
    <row r="37" spans="2:20">
      <c r="B37" s="41" t="s">
        <v>132</v>
      </c>
      <c r="C37" s="41"/>
      <c r="D37" s="41"/>
      <c r="E37" s="120"/>
      <c r="F37" s="120">
        <v>1.7000000000000001E-2</v>
      </c>
      <c r="G37" s="120">
        <v>9.2999999999999999E-2</v>
      </c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>
        <f>SUM(E37:Q37)</f>
        <v>0.11</v>
      </c>
      <c r="S37" s="63"/>
    </row>
    <row r="38" spans="2:20">
      <c r="B38" s="41" t="s">
        <v>133</v>
      </c>
      <c r="C38" s="41"/>
      <c r="D38" s="41"/>
      <c r="E38" s="63">
        <f t="shared" ref="E38:R38" si="0">SUM(E35:E37)</f>
        <v>0.4</v>
      </c>
      <c r="F38" s="63">
        <f t="shared" si="0"/>
        <v>7.7000000000000013E-2</v>
      </c>
      <c r="G38" s="63">
        <f t="shared" si="0"/>
        <v>-8.2210000000000005E-2</v>
      </c>
      <c r="H38" s="63">
        <f t="shared" si="0"/>
        <v>0</v>
      </c>
      <c r="I38" s="63">
        <f t="shared" si="0"/>
        <v>0</v>
      </c>
      <c r="J38" s="63">
        <f t="shared" si="0"/>
        <v>0</v>
      </c>
      <c r="K38" s="63">
        <f t="shared" si="0"/>
        <v>0</v>
      </c>
      <c r="L38" s="63">
        <f t="shared" si="0"/>
        <v>0</v>
      </c>
      <c r="M38" s="63">
        <f t="shared" si="0"/>
        <v>0</v>
      </c>
      <c r="N38" s="63">
        <f t="shared" si="0"/>
        <v>0</v>
      </c>
      <c r="O38" s="63">
        <f t="shared" si="0"/>
        <v>0</v>
      </c>
      <c r="P38" s="63">
        <f t="shared" si="0"/>
        <v>0</v>
      </c>
      <c r="Q38" s="63">
        <f t="shared" si="0"/>
        <v>0</v>
      </c>
      <c r="R38" s="63">
        <f t="shared" si="0"/>
        <v>0.39479000000000003</v>
      </c>
      <c r="S38" s="63"/>
    </row>
    <row r="39" spans="2:20">
      <c r="B39" s="41"/>
      <c r="C39" s="41"/>
      <c r="D39" s="41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</row>
    <row r="40" spans="2:20">
      <c r="B40" s="41" t="s">
        <v>134</v>
      </c>
      <c r="C40" s="41"/>
      <c r="D40" s="51"/>
      <c r="E40" s="64">
        <f t="shared" ref="E40:R40" si="1">E38+E33</f>
        <v>0.55400000000000005</v>
      </c>
      <c r="F40" s="64">
        <f t="shared" si="1"/>
        <v>4.4750000000000012E-2</v>
      </c>
      <c r="G40" s="64">
        <f t="shared" si="1"/>
        <v>-0.27796000000000004</v>
      </c>
      <c r="H40" s="64">
        <f t="shared" si="1"/>
        <v>0</v>
      </c>
      <c r="I40" s="64">
        <f t="shared" si="1"/>
        <v>0</v>
      </c>
      <c r="J40" s="64">
        <f t="shared" si="1"/>
        <v>0</v>
      </c>
      <c r="K40" s="64">
        <f t="shared" si="1"/>
        <v>0</v>
      </c>
      <c r="L40" s="64">
        <f t="shared" si="1"/>
        <v>0</v>
      </c>
      <c r="M40" s="64">
        <f t="shared" si="1"/>
        <v>0</v>
      </c>
      <c r="N40" s="64">
        <f t="shared" si="1"/>
        <v>0</v>
      </c>
      <c r="O40" s="64">
        <f t="shared" si="1"/>
        <v>0</v>
      </c>
      <c r="P40" s="64">
        <f t="shared" si="1"/>
        <v>0</v>
      </c>
      <c r="Q40" s="64">
        <f t="shared" si="1"/>
        <v>0</v>
      </c>
      <c r="R40" s="64">
        <f t="shared" si="1"/>
        <v>0.32078999999999996</v>
      </c>
      <c r="S40" s="64"/>
    </row>
    <row r="41" spans="2:20">
      <c r="B41" s="41"/>
      <c r="C41" s="41"/>
      <c r="D41" s="41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21"/>
    </row>
  </sheetData>
  <pageMargins left="0.75" right="0.75" top="1" bottom="1" header="0.5" footer="0.5"/>
  <pageSetup scale="79" orientation="landscape" horizontalDpi="4294967292" verticalDpi="300" r:id="rId1"/>
  <headerFooter alignWithMargins="0">
    <oddFooter>&amp;RPage 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opLeftCell="A18" zoomScale="75" workbookViewId="0">
      <selection activeCell="A46" sqref="A46"/>
    </sheetView>
  </sheetViews>
  <sheetFormatPr defaultRowHeight="13.2"/>
  <cols>
    <col min="1" max="1" width="29" customWidth="1"/>
    <col min="2" max="2" width="2" customWidth="1"/>
    <col min="3" max="3" width="12.33203125" customWidth="1"/>
    <col min="4" max="4" width="5.109375" customWidth="1"/>
    <col min="5" max="5" width="15" customWidth="1"/>
    <col min="6" max="6" width="5" customWidth="1"/>
    <col min="7" max="7" width="10.44140625" customWidth="1"/>
    <col min="8" max="8" width="1.44140625" customWidth="1"/>
    <col min="9" max="9" width="11.109375" customWidth="1"/>
    <col min="10" max="10" width="1.33203125" customWidth="1"/>
    <col min="11" max="11" width="13.5546875" customWidth="1"/>
    <col min="12" max="12" width="1.88671875" customWidth="1"/>
    <col min="13" max="13" width="65.5546875" customWidth="1"/>
    <col min="14" max="14" width="2.33203125" customWidth="1"/>
  </cols>
  <sheetData>
    <row r="1" spans="1:13" ht="21">
      <c r="A1" s="122" t="s">
        <v>0</v>
      </c>
    </row>
    <row r="2" spans="1:13" ht="17.399999999999999">
      <c r="A2" s="123" t="s">
        <v>135</v>
      </c>
    </row>
    <row r="4" spans="1:13">
      <c r="G4" s="177"/>
      <c r="H4" s="177"/>
      <c r="I4" s="177"/>
      <c r="J4" s="177"/>
      <c r="K4" s="177"/>
    </row>
    <row r="5" spans="1:13">
      <c r="C5" s="112" t="s">
        <v>136</v>
      </c>
      <c r="D5" s="113"/>
      <c r="E5" s="112" t="s">
        <v>137</v>
      </c>
      <c r="G5" s="112" t="s">
        <v>138</v>
      </c>
      <c r="H5" s="110"/>
      <c r="I5" s="112" t="s">
        <v>139</v>
      </c>
      <c r="J5" s="110"/>
      <c r="K5" s="112" t="s">
        <v>140</v>
      </c>
      <c r="M5" s="124" t="s">
        <v>141</v>
      </c>
    </row>
    <row r="7" spans="1:13">
      <c r="A7" s="125" t="s">
        <v>142</v>
      </c>
      <c r="B7" s="125"/>
      <c r="C7" s="125"/>
      <c r="D7" s="125"/>
      <c r="E7" s="125"/>
      <c r="F7" s="125"/>
      <c r="G7" s="125"/>
      <c r="H7" s="58"/>
      <c r="I7" s="58"/>
      <c r="J7" s="58"/>
      <c r="K7" s="58"/>
    </row>
    <row r="8" spans="1:13">
      <c r="A8" s="58" t="s">
        <v>143</v>
      </c>
      <c r="B8" s="58"/>
      <c r="C8" s="126">
        <f>'[2]1QNNG'!C8+'[2]1QTW'!C8</f>
        <v>80.625</v>
      </c>
      <c r="D8" s="126"/>
      <c r="E8" s="126">
        <f>'[2]1QNNG'!E8+'[2]1QTW'!E8</f>
        <v>88.512</v>
      </c>
      <c r="F8" s="58"/>
      <c r="G8" s="126">
        <f>'[2]1QNNG'!G8+'[2]1QTW'!G8</f>
        <v>88.177999999999997</v>
      </c>
      <c r="H8" s="58"/>
      <c r="I8" s="126">
        <f>'[2]1QNNG'!I8+'[2]1QTW'!I8</f>
        <v>88.573333333333338</v>
      </c>
      <c r="J8" s="58"/>
      <c r="K8" s="126">
        <f>'[2]1QNNG'!K8+'[2]1QTW'!K8</f>
        <v>-0.39533333333334042</v>
      </c>
    </row>
    <row r="9" spans="1:13">
      <c r="A9" s="127" t="s">
        <v>144</v>
      </c>
      <c r="B9" s="58"/>
      <c r="C9" s="126">
        <f>'[2]1QNNG'!C9+'[2]1QTW'!C9</f>
        <v>464.42500000000001</v>
      </c>
      <c r="D9" s="126"/>
      <c r="E9" s="126">
        <f>'[2]1QNNG'!E9+'[2]1QTW'!E9</f>
        <v>457.27300000000002</v>
      </c>
      <c r="F9" s="58"/>
      <c r="G9" s="126">
        <f>'[2]1QNNG'!G9+'[2]1QTW'!G9</f>
        <v>457.22399999999999</v>
      </c>
      <c r="H9" s="58"/>
      <c r="I9" s="126">
        <f>'[2]1QNNG'!I9+'[2]1QTW'!I9+1</f>
        <v>508.31399999999996</v>
      </c>
      <c r="J9" s="58"/>
      <c r="K9" s="128">
        <f>'[2]1QNNG'!K9+'[2]1QTW'!K9-1</f>
        <v>-51.090000000000018</v>
      </c>
      <c r="M9" s="26" t="s">
        <v>145</v>
      </c>
    </row>
    <row r="10" spans="1:13">
      <c r="A10" s="129" t="s">
        <v>146</v>
      </c>
      <c r="B10" s="58"/>
      <c r="C10" s="126">
        <f>'[2]1QNNG'!C10+'[2]1QTW'!C10</f>
        <v>2095.203</v>
      </c>
      <c r="D10" s="126"/>
      <c r="E10" s="126">
        <f>'[2]1QNNG'!E10+'[2]1QTW'!E10</f>
        <v>1709.7379999999998</v>
      </c>
      <c r="F10" s="58"/>
      <c r="G10" s="126">
        <f>'[2]1QNNG'!G10+'[2]1QTW'!G10</f>
        <v>1710.365</v>
      </c>
      <c r="H10" s="58"/>
      <c r="I10" s="126">
        <f>'[2]1QNNG'!I10+'[2]1QTW'!I10</f>
        <v>1859.7</v>
      </c>
      <c r="J10" s="58"/>
      <c r="K10" s="126">
        <f>'[2]1QNNG'!K10+'[2]1QTW'!K10</f>
        <v>-149.33499999999992</v>
      </c>
      <c r="M10" s="26" t="s">
        <v>145</v>
      </c>
    </row>
    <row r="11" spans="1:13">
      <c r="A11" s="58" t="s">
        <v>147</v>
      </c>
      <c r="B11" s="58"/>
      <c r="C11" s="126">
        <f>'[2]1QNNG'!C11+'[2]1QTW'!C11</f>
        <v>1653</v>
      </c>
      <c r="D11" s="126"/>
      <c r="E11" s="126">
        <f>'[2]1QNNG'!E11+'[2]1QTW'!E11</f>
        <v>2466.9956666666667</v>
      </c>
      <c r="F11" s="58"/>
      <c r="G11" s="126">
        <f>'[2]1QNNG'!G11+'[2]1QTW'!G11</f>
        <v>2466.8183333333332</v>
      </c>
      <c r="H11" s="58"/>
      <c r="I11" s="126">
        <f>'[2]1QNNG'!I11+'[2]1QTW'!I11</f>
        <v>2766.0249999999996</v>
      </c>
      <c r="J11" s="58"/>
      <c r="K11" s="126">
        <f>'[2]1QNNG'!K11+'[2]1QTW'!K11</f>
        <v>-299.20666666666671</v>
      </c>
      <c r="M11" s="26" t="s">
        <v>148</v>
      </c>
    </row>
    <row r="12" spans="1:13">
      <c r="A12" s="58" t="s">
        <v>149</v>
      </c>
      <c r="B12" s="58"/>
      <c r="C12" s="126">
        <f>'[2]1QNNG'!C12+'[2]1QTW'!C12</f>
        <v>944</v>
      </c>
      <c r="D12" s="126"/>
      <c r="E12" s="126">
        <f>'[2]1QNNG'!E12+'[2]1QTW'!E12</f>
        <v>1127.4100000000001</v>
      </c>
      <c r="F12" s="58"/>
      <c r="G12" s="126">
        <f>'[2]1QNNG'!G12+'[2]1QTW'!G12</f>
        <v>1126.3339999999998</v>
      </c>
      <c r="H12" s="58"/>
      <c r="I12" s="126">
        <f>'[2]1QNNG'!I12+'[2]1QTW'!I12</f>
        <v>1177.4349999999999</v>
      </c>
      <c r="J12" s="58"/>
      <c r="K12" s="126">
        <f>'[2]1QNNG'!K12+'[2]1QTW'!K12</f>
        <v>-51.101000000000099</v>
      </c>
      <c r="M12" s="26" t="s">
        <v>145</v>
      </c>
    </row>
    <row r="13" spans="1:13">
      <c r="A13" s="58" t="s">
        <v>150</v>
      </c>
      <c r="B13" s="58"/>
      <c r="C13" s="126">
        <f>'[2]1QNNG'!C13+'[2]1QTW'!C13</f>
        <v>1611.6079999999999</v>
      </c>
      <c r="D13" s="126"/>
      <c r="E13" s="126">
        <f>'[2]1QNNG'!E13+'[2]1QTW'!E13</f>
        <v>1722.0089999999998</v>
      </c>
      <c r="F13" s="58"/>
      <c r="G13" s="126">
        <f>'[2]1QNNG'!G13+'[2]1QTW'!G13</f>
        <v>1721.713</v>
      </c>
      <c r="H13" s="58"/>
      <c r="I13" s="126">
        <f>'[2]1QNNG'!I13+'[2]1QTW'!I13</f>
        <v>1722</v>
      </c>
      <c r="J13" s="58"/>
      <c r="K13" s="126">
        <f>'[2]1QNNG'!K13+'[2]1QTW'!K13</f>
        <v>-0.28700000000003456</v>
      </c>
    </row>
    <row r="14" spans="1:13">
      <c r="A14" s="127" t="s">
        <v>151</v>
      </c>
      <c r="B14" s="58"/>
      <c r="C14" s="126">
        <f>'[2]1QNNG'!C14+'[2]1QTW'!C14</f>
        <v>353.4</v>
      </c>
      <c r="D14" s="126"/>
      <c r="E14" s="126">
        <f>'[2]1QNNG'!E14+'[2]1QTW'!E14</f>
        <v>375.1</v>
      </c>
      <c r="F14" s="58"/>
      <c r="G14" s="126">
        <f>'[2]1QNNG'!G14+'[2]1QTW'!G14</f>
        <v>375.26400000000001</v>
      </c>
      <c r="H14" s="58"/>
      <c r="I14" s="126">
        <f>'[2]1QNNG'!I14+'[2]1QTW'!I14</f>
        <v>410.327</v>
      </c>
      <c r="J14" s="58"/>
      <c r="K14" s="126">
        <f>'[2]1QNNG'!K14+'[2]1QTW'!K14</f>
        <v>-35.062999999999988</v>
      </c>
      <c r="M14" s="26" t="s">
        <v>145</v>
      </c>
    </row>
    <row r="15" spans="1:13">
      <c r="A15" s="58" t="s">
        <v>152</v>
      </c>
      <c r="B15" s="58"/>
      <c r="C15" s="126">
        <f>'[2]1QNNG'!C15+'[2]1QTW'!C15</f>
        <v>303</v>
      </c>
      <c r="D15" s="126"/>
      <c r="E15" s="126">
        <f>'[2]1QNNG'!E15+'[2]1QTW'!E15</f>
        <v>298.04233333333326</v>
      </c>
      <c r="F15" s="58"/>
      <c r="G15" s="126">
        <f>'[2]1QNNG'!G15+'[2]1QTW'!G15</f>
        <v>297.6396666666667</v>
      </c>
      <c r="H15" s="58"/>
      <c r="I15" s="126">
        <f>'[2]1QNNG'!I15+'[2]1QTW'!I15</f>
        <v>322.84199999999998</v>
      </c>
      <c r="J15" s="58"/>
      <c r="K15" s="126">
        <f>'[2]1QNNG'!K15+'[2]1QTW'!K15</f>
        <v>-25.202333333333314</v>
      </c>
      <c r="M15" s="26" t="s">
        <v>145</v>
      </c>
    </row>
    <row r="16" spans="1:13">
      <c r="A16" s="127" t="s">
        <v>153</v>
      </c>
      <c r="B16" s="58"/>
      <c r="C16" s="126">
        <f>'[2]1QNNG'!C16+'[2]1QTW'!C16</f>
        <v>23540.894</v>
      </c>
      <c r="D16" s="126"/>
      <c r="E16" s="126">
        <f>'[2]1QNNG'!E16+'[2]1QTW'!E16</f>
        <v>25901.684000000001</v>
      </c>
      <c r="F16" s="58"/>
      <c r="G16" s="126">
        <f>'[2]1QNNG'!G16+'[2]1QTW'!G16</f>
        <v>22498.514999999999</v>
      </c>
      <c r="H16" s="58"/>
      <c r="I16" s="126">
        <f>'[2]1QNNG'!I16+'[2]1QTW'!I16</f>
        <v>27087.200000000001</v>
      </c>
      <c r="J16" s="58"/>
      <c r="K16" s="126">
        <f>'[2]1QNNG'!K16+'[2]1QTW'!K16</f>
        <v>-4588.6850000000031</v>
      </c>
      <c r="M16" s="26" t="s">
        <v>154</v>
      </c>
    </row>
    <row r="17" spans="1:13">
      <c r="A17" s="58" t="s">
        <v>155</v>
      </c>
      <c r="B17" s="58"/>
      <c r="C17" s="126">
        <f>'[2]1QNNG'!C17+'[2]1QTW'!C17</f>
        <v>1956.6760000000002</v>
      </c>
      <c r="D17" s="126"/>
      <c r="E17" s="126">
        <f>'[2]1QNNG'!E17+'[2]1QTW'!E17</f>
        <v>1848.8590000000002</v>
      </c>
      <c r="F17" s="58"/>
      <c r="G17" s="126">
        <f>'[2]1QNNG'!G17+'[2]1QTW'!G17</f>
        <v>1669.2603333333332</v>
      </c>
      <c r="H17" s="58"/>
      <c r="I17" s="126">
        <f>'[2]1QNNG'!I17+'[2]1QTW'!I17</f>
        <v>1846.2850000000001</v>
      </c>
      <c r="J17" s="58"/>
      <c r="K17" s="126">
        <f>'[2]1QNNG'!K17+'[2]1QTW'!K17</f>
        <v>-177.0246666666668</v>
      </c>
      <c r="M17" t="s">
        <v>156</v>
      </c>
    </row>
    <row r="18" spans="1:13">
      <c r="A18" s="127" t="s">
        <v>157</v>
      </c>
      <c r="B18" s="58"/>
      <c r="C18" s="130">
        <f>'[2]1QNNG'!C18+'[2]1QTW'!C18</f>
        <v>-185.66666666666666</v>
      </c>
      <c r="D18" s="130"/>
      <c r="E18" s="130">
        <f>'[2]1QNNG'!E18+'[2]1QTW'!E18</f>
        <v>-40.955999999999975</v>
      </c>
      <c r="F18" s="58"/>
      <c r="G18" s="130">
        <f>'[2]1QNNG'!G18+'[2]1QTW'!G18</f>
        <v>-40.955999999999975</v>
      </c>
      <c r="H18" s="58"/>
      <c r="I18" s="130">
        <f>'[2]1QNNG'!I18+'[2]1QTW'!I18</f>
        <v>-550</v>
      </c>
      <c r="J18" s="58"/>
      <c r="K18" s="130">
        <f>'[2]1QNNG'!K18+'[2]1QTW'!K18</f>
        <v>509.04400000000004</v>
      </c>
    </row>
    <row r="19" spans="1:13">
      <c r="A19" s="110" t="s">
        <v>158</v>
      </c>
      <c r="B19" s="110"/>
      <c r="C19" s="131">
        <f>SUM(C8:C18)</f>
        <v>32817.164333333334</v>
      </c>
      <c r="D19" s="131"/>
      <c r="E19" s="132">
        <f>'[2]1QNNG'!E19+'[2]1QTW'!E19</f>
        <v>35954.666999999994</v>
      </c>
      <c r="F19" s="133"/>
      <c r="G19" s="131">
        <f>SUM(G8:G18)</f>
        <v>32370.355333333333</v>
      </c>
      <c r="H19" s="134"/>
      <c r="I19" s="131">
        <f>SUM(I8:I18)</f>
        <v>37238.701333333338</v>
      </c>
      <c r="J19" s="58"/>
      <c r="K19" s="132">
        <f>G19-I19</f>
        <v>-4868.346000000005</v>
      </c>
    </row>
    <row r="20" spans="1:1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1:13">
      <c r="A21" s="125" t="s">
        <v>159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1:13">
      <c r="A22" s="58" t="s">
        <v>160</v>
      </c>
      <c r="B22" s="58"/>
      <c r="C22" s="126">
        <f>'[2]1QNNG'!C22+'[2]1QTW'!C22</f>
        <v>962.1110000000001</v>
      </c>
      <c r="D22" s="126"/>
      <c r="E22" s="126">
        <f>'[2]1QNNG'!E22+'[2]1QTW'!E22</f>
        <v>612.8746666666666</v>
      </c>
      <c r="F22" s="58"/>
      <c r="G22" s="126">
        <f>'[2]1QNNG'!G22+'[2]1QTW'!G22</f>
        <v>613.27441666666664</v>
      </c>
      <c r="H22" s="58"/>
      <c r="I22" s="126">
        <f>'[2]1QNNG'!I22+'[2]1QTW'!I22</f>
        <v>1001.97325</v>
      </c>
      <c r="J22" s="58"/>
      <c r="K22" s="126">
        <f>'[2]1QNNG'!K22+'[2]1QTW'!K22</f>
        <v>-388.69883333333331</v>
      </c>
      <c r="M22" s="26" t="s">
        <v>161</v>
      </c>
    </row>
    <row r="23" spans="1:13">
      <c r="A23" s="58" t="s">
        <v>162</v>
      </c>
      <c r="B23" s="58"/>
      <c r="C23" s="126">
        <f>'[2]1QNNG'!C23+'[2]1QTW'!C23</f>
        <v>1394.951</v>
      </c>
      <c r="D23" s="126"/>
      <c r="E23" s="126">
        <f>'[2]1QNNG'!E23+'[2]1QTW'!E23</f>
        <v>1119.1831666666667</v>
      </c>
      <c r="F23" s="58"/>
      <c r="G23" s="126">
        <f>'[2]1QNNG'!G23+'[2]1QTW'!G23</f>
        <v>1118.96</v>
      </c>
      <c r="H23" s="58"/>
      <c r="I23" s="126">
        <f>'[2]1QNNG'!I23+'[2]1QTW'!I23</f>
        <v>1249.7762500000001</v>
      </c>
      <c r="J23" s="58"/>
      <c r="K23" s="126">
        <f>'[2]1QNNG'!K23+'[2]1QTW'!K23</f>
        <v>-130.81625000000003</v>
      </c>
      <c r="M23" t="s">
        <v>163</v>
      </c>
    </row>
    <row r="24" spans="1:13">
      <c r="A24" s="58" t="s">
        <v>164</v>
      </c>
      <c r="B24" s="58"/>
      <c r="C24" s="126">
        <f>'[2]1QNNG'!C24+'[2]1QTW'!C24</f>
        <v>947.7600000000001</v>
      </c>
      <c r="D24" s="126"/>
      <c r="E24" s="126">
        <f>'[2]1QNNG'!E24+'[2]1QTW'!E24</f>
        <v>1562.0049999999999</v>
      </c>
      <c r="F24" s="58"/>
      <c r="G24" s="126">
        <f>'[2]1QNNG'!G24+'[2]1QTW'!G24</f>
        <v>1561.3889999999997</v>
      </c>
      <c r="H24" s="58"/>
      <c r="I24" s="126">
        <f>'[2]1QNNG'!I24+'[2]1QTW'!I24</f>
        <v>1561.1749999999997</v>
      </c>
      <c r="J24" s="58"/>
      <c r="K24" s="126">
        <f>'[2]1QNNG'!K24+'[2]1QTW'!K24</f>
        <v>0.21399999999988495</v>
      </c>
    </row>
    <row r="25" spans="1:13">
      <c r="A25" s="58" t="s">
        <v>165</v>
      </c>
      <c r="B25" s="58"/>
      <c r="C25" s="126">
        <f>'[2]1QNNG'!C25+'[2]1QTW'!C25</f>
        <v>528.4670000000001</v>
      </c>
      <c r="D25" s="126"/>
      <c r="E25" s="126">
        <f>'[2]1QNNG'!E25+'[2]1QTW'!E25</f>
        <v>543.69724999999994</v>
      </c>
      <c r="F25" s="58"/>
      <c r="G25" s="126">
        <f>'[2]1QNNG'!G25+'[2]1QTW'!G25</f>
        <v>544.5649166666667</v>
      </c>
      <c r="H25" s="58"/>
      <c r="I25" s="126">
        <f>'[2]1QNNG'!I25+'[2]1QTW'!I25</f>
        <v>691.65150000000006</v>
      </c>
      <c r="J25" s="58"/>
      <c r="K25" s="126">
        <f>'[2]1QNNG'!K25+'[2]1QTW'!K25</f>
        <v>-147.08658333333341</v>
      </c>
      <c r="M25" s="26" t="s">
        <v>166</v>
      </c>
    </row>
    <row r="26" spans="1:13">
      <c r="A26" s="127" t="s">
        <v>167</v>
      </c>
      <c r="B26" s="58"/>
      <c r="C26" s="126">
        <f>'[2]1QNNG'!C26+'[2]1QTW'!C26</f>
        <v>622.65800000000002</v>
      </c>
      <c r="D26" s="126"/>
      <c r="E26" s="126">
        <f>'[2]1QNNG'!E26+'[2]1QTW'!E26</f>
        <v>1115.1514999999999</v>
      </c>
      <c r="F26" s="58"/>
      <c r="G26" s="126">
        <f>'[2]1QNNG'!G26+'[2]1QTW'!G26</f>
        <v>1302.1349166666664</v>
      </c>
      <c r="H26" s="58"/>
      <c r="I26" s="126">
        <f>'[2]1QNNG'!I26+'[2]1QTW'!I26</f>
        <v>608.80674999999997</v>
      </c>
      <c r="J26" s="58"/>
      <c r="K26" s="126">
        <f>'[2]1QNNG'!K26+'[2]1QTW'!K26</f>
        <v>693.32816666666645</v>
      </c>
      <c r="M26" s="26" t="s">
        <v>168</v>
      </c>
    </row>
    <row r="27" spans="1:13">
      <c r="A27" s="58" t="s">
        <v>169</v>
      </c>
      <c r="B27" s="58"/>
      <c r="C27" s="130">
        <f>'[2]1QNNG'!C27+'[2]1QTW'!C27</f>
        <v>381</v>
      </c>
      <c r="D27" s="130"/>
      <c r="E27" s="130">
        <f>'[2]1QNNG'!E27+'[2]1QTW'!E27</f>
        <v>0</v>
      </c>
      <c r="F27" s="58"/>
      <c r="G27" s="130">
        <f>'[2]1QNNG'!G27+'[2]1QTW'!G27</f>
        <v>0</v>
      </c>
      <c r="H27" s="58"/>
      <c r="I27" s="130">
        <f>'[2]1QNNG'!I27+'[2]1QTW'!I27</f>
        <v>0</v>
      </c>
      <c r="J27" s="58"/>
      <c r="K27" s="130">
        <f>'[2]1QNNG'!K27+'[2]1QTW'!K27</f>
        <v>0</v>
      </c>
    </row>
    <row r="28" spans="1:13">
      <c r="A28" s="110" t="s">
        <v>170</v>
      </c>
      <c r="B28" s="110"/>
      <c r="C28" s="131">
        <f>SUM(C22:C27)</f>
        <v>4836.9470000000001</v>
      </c>
      <c r="D28" s="131"/>
      <c r="E28" s="132">
        <f>'[2]1QNNG'!E28+'[2]1QTW'!E28</f>
        <v>4952.9115833333326</v>
      </c>
      <c r="F28" s="133"/>
      <c r="G28" s="131">
        <f>SUM(G22:G27)</f>
        <v>5140.3232499999995</v>
      </c>
      <c r="H28" s="134"/>
      <c r="I28" s="131">
        <f>SUM(I22:I27)</f>
        <v>5113.3827499999998</v>
      </c>
      <c r="J28" s="134"/>
      <c r="K28" s="131">
        <f>G28-I28</f>
        <v>26.940499999999702</v>
      </c>
    </row>
    <row r="29" spans="1:1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</row>
    <row r="30" spans="1:13">
      <c r="A30" s="125" t="s">
        <v>171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13">
      <c r="A31" s="58" t="s">
        <v>172</v>
      </c>
      <c r="B31" s="58"/>
      <c r="C31" s="126">
        <f>'[2]1QNNG'!C31+'[2]1QTW'!C31</f>
        <v>2470.9166666666997</v>
      </c>
      <c r="D31" s="126"/>
      <c r="E31" s="126">
        <f>'[2]1QNNG'!E31+'[2]1QTW'!E31</f>
        <v>2081.8000000000002</v>
      </c>
      <c r="F31" s="58"/>
      <c r="G31" s="126">
        <f>'[2]1QNNG'!G31+'[2]1QTW'!G31</f>
        <v>2082.0000000000005</v>
      </c>
      <c r="H31" s="58"/>
      <c r="I31" s="126">
        <f>'[2]1QNNG'!I31+'[2]1QTW'!I31</f>
        <v>2081.6000000000004</v>
      </c>
      <c r="J31" s="58"/>
      <c r="K31" s="126">
        <f>'[2]1QNNG'!K31+'[2]1QTW'!K31</f>
        <v>0.40000000000009095</v>
      </c>
    </row>
    <row r="32" spans="1:13">
      <c r="A32" s="58" t="s">
        <v>173</v>
      </c>
      <c r="B32" s="58"/>
      <c r="C32" s="126">
        <f>'[2]1QNNG'!C32+'[2]1QTW'!C32</f>
        <v>133.51800000000014</v>
      </c>
      <c r="D32" s="126"/>
      <c r="E32" s="126">
        <f>'[2]1QNNG'!E32+'[2]1QTW'!E32</f>
        <v>51.903999999999883</v>
      </c>
      <c r="F32" s="58"/>
      <c r="G32" s="126">
        <f>'[2]1QNNG'!G32+'[2]1QTW'!G32</f>
        <v>131.39499999999998</v>
      </c>
      <c r="H32" s="58"/>
      <c r="I32" s="126">
        <f>'[2]1QNNG'!I32+'[2]1QTW'!I32</f>
        <v>159.49999999999997</v>
      </c>
      <c r="J32" s="58"/>
      <c r="K32" s="126">
        <f>'[2]1QNNG'!K32+'[2]1QTW'!K32</f>
        <v>-28.10499999999999</v>
      </c>
      <c r="M32" s="27" t="s">
        <v>174</v>
      </c>
    </row>
    <row r="33" spans="1:13">
      <c r="A33" s="58" t="s">
        <v>175</v>
      </c>
      <c r="B33" s="58"/>
      <c r="C33" s="126">
        <f>'[2]1QNNG'!C33+'[2]1QTW'!C33</f>
        <v>1446.2999999999997</v>
      </c>
      <c r="D33" s="126"/>
      <c r="E33" s="126">
        <f>'[2]1QNNG'!E33+'[2]1QTW'!E33</f>
        <v>1774.175</v>
      </c>
      <c r="F33" s="58"/>
      <c r="G33" s="126">
        <f>'[2]1QNNG'!G33+'[2]1QTW'!G33</f>
        <v>1773.9580000000001</v>
      </c>
      <c r="H33" s="58"/>
      <c r="I33" s="126">
        <f>'[2]1QNNG'!I33+'[2]1QTW'!I33</f>
        <v>1774.175</v>
      </c>
      <c r="J33" s="58"/>
      <c r="K33" s="126">
        <f>'[2]1QNNG'!K33+'[2]1QTW'!K33</f>
        <v>-0.21699999999998454</v>
      </c>
    </row>
    <row r="34" spans="1:13">
      <c r="A34" s="127" t="s">
        <v>176</v>
      </c>
      <c r="B34" s="58"/>
      <c r="C34" s="126">
        <f>'[2]1QNNG'!C34+'[2]1QTW'!C34</f>
        <v>129.80000000000001</v>
      </c>
      <c r="D34" s="126"/>
      <c r="E34" s="126">
        <f>'[2]1QNNG'!E34+'[2]1QTW'!E34</f>
        <v>126.35</v>
      </c>
      <c r="F34" s="58"/>
      <c r="G34" s="126">
        <f>'[2]1QNNG'!G34+'[2]1QTW'!G34</f>
        <v>124.35</v>
      </c>
      <c r="H34" s="58"/>
      <c r="I34" s="126">
        <f>'[2]1QNNG'!I34+'[2]1QTW'!I34</f>
        <v>126.55</v>
      </c>
      <c r="J34" s="58"/>
      <c r="K34" s="126">
        <f>'[2]1QNNG'!K34+'[2]1QTW'!K34</f>
        <v>-2.2000000000000028</v>
      </c>
    </row>
    <row r="35" spans="1:13">
      <c r="A35" s="129" t="s">
        <v>177</v>
      </c>
      <c r="B35" s="127"/>
      <c r="C35" s="128">
        <f>'[2]1QNNG'!C35+'[2]1QTW'!C35</f>
        <v>1706.0020000000002</v>
      </c>
      <c r="D35" s="128"/>
      <c r="E35" s="126">
        <f>'[2]1QNNG'!E35+'[2]1QTW'!E35</f>
        <v>2480.9593333333332</v>
      </c>
      <c r="F35" s="58"/>
      <c r="G35" s="126">
        <f>'[2]1QNNG'!G35+'[2]1QTW'!G35</f>
        <v>2805.2584166666666</v>
      </c>
      <c r="H35" s="58"/>
      <c r="I35" s="126">
        <f>'[2]1QNNG'!I35+'[2]1QTW'!I35</f>
        <v>2428.2342500000004</v>
      </c>
      <c r="J35" s="58"/>
      <c r="K35" s="126">
        <f>'[2]1QNNG'!K35+'[2]1QTW'!K35</f>
        <v>377.02416666666659</v>
      </c>
      <c r="M35" s="26" t="s">
        <v>178</v>
      </c>
    </row>
    <row r="36" spans="1:13">
      <c r="A36" s="129" t="s">
        <v>179</v>
      </c>
      <c r="B36" s="58"/>
      <c r="C36" s="126">
        <f>'[2]1QNNG'!C36+'[2]1QTW'!C36</f>
        <v>490.9</v>
      </c>
      <c r="D36" s="126"/>
      <c r="E36" s="126">
        <f>'[2]1QNNG'!E36+'[2]1QTW'!E36</f>
        <v>520.01366666666661</v>
      </c>
      <c r="F36" s="58"/>
      <c r="G36" s="126">
        <f>'[2]1QNNG'!G36+'[2]1QTW'!G36</f>
        <v>519.72533333333331</v>
      </c>
      <c r="H36" s="58"/>
      <c r="I36" s="126">
        <f>'[2]1QNNG'!I36+'[2]1QTW'!I36</f>
        <v>519.625</v>
      </c>
      <c r="J36" s="58"/>
      <c r="K36" s="126">
        <f>'[2]1QNNG'!K36+'[2]1QTW'!K36</f>
        <v>0.10033333333331029</v>
      </c>
    </row>
    <row r="37" spans="1:13">
      <c r="A37" s="129" t="s">
        <v>180</v>
      </c>
      <c r="B37" s="58"/>
      <c r="C37" s="126">
        <f>'[2]1QNNG'!C37+'[2]1QTW'!C37</f>
        <v>489.702</v>
      </c>
      <c r="D37" s="126"/>
      <c r="E37" s="126">
        <f>'[2]1QNNG'!E37+'[2]1QTW'!E37</f>
        <v>205.44533333333334</v>
      </c>
      <c r="F37" s="58"/>
      <c r="G37" s="126">
        <f>'[2]1QNNG'!G37+'[2]1QTW'!G37</f>
        <v>73.899000000000001</v>
      </c>
      <c r="H37" s="58"/>
      <c r="I37" s="126">
        <f>'[2]1QNNG'!I37+'[2]1QTW'!I37</f>
        <v>523.4</v>
      </c>
      <c r="J37" s="58"/>
      <c r="K37" s="126">
        <f>'[2]1QNNG'!K37+'[2]1QTW'!K37</f>
        <v>-449.50100000000003</v>
      </c>
      <c r="M37" s="26" t="s">
        <v>181</v>
      </c>
    </row>
    <row r="38" spans="1:13">
      <c r="A38" s="129" t="s">
        <v>182</v>
      </c>
      <c r="B38" s="58"/>
      <c r="C38" s="126">
        <f>'[2]1QNNG'!C38+'[2]1QTW'!C38</f>
        <v>701.66899999999998</v>
      </c>
      <c r="D38" s="126"/>
      <c r="E38" s="126">
        <f>'[2]1QNNG'!E38+'[2]1QTW'!E38</f>
        <v>670.14599999999996</v>
      </c>
      <c r="F38" s="58"/>
      <c r="G38" s="126">
        <f>'[2]1QNNG'!G38+'[2]1QTW'!G38</f>
        <v>653.04133333333334</v>
      </c>
      <c r="H38" s="58"/>
      <c r="I38" s="126">
        <f>'[2]1QNNG'!I38+'[2]1QTW'!I38</f>
        <v>704.89050000000009</v>
      </c>
      <c r="J38" s="58"/>
      <c r="K38" s="126">
        <f>'[2]1QNNG'!K38+'[2]1QTW'!K38</f>
        <v>-51.849166666666719</v>
      </c>
      <c r="M38" s="26" t="s">
        <v>183</v>
      </c>
    </row>
    <row r="39" spans="1:13">
      <c r="A39" s="129" t="s">
        <v>184</v>
      </c>
      <c r="B39" s="58"/>
      <c r="C39" s="126">
        <f>'[2]1QNNG'!C39+'[2]1QTW'!C39</f>
        <v>450.98400000000004</v>
      </c>
      <c r="D39" s="126"/>
      <c r="E39" s="126">
        <f>'[2]1QNNG'!E39+'[2]1QTW'!E39</f>
        <v>150.05799999999999</v>
      </c>
      <c r="F39" s="58"/>
      <c r="G39" s="126">
        <f>'[2]1QNNG'!G39+'[2]1QTW'!G39</f>
        <v>150.03</v>
      </c>
      <c r="H39" s="58"/>
      <c r="I39" s="126">
        <f>'[2]1QNNG'!I39+'[2]1QTW'!I39</f>
        <v>441.28174999999999</v>
      </c>
      <c r="J39" s="58"/>
      <c r="K39" s="126">
        <f>'[2]1QNNG'!K39+'[2]1QTW'!K39</f>
        <v>-291.25174999999996</v>
      </c>
      <c r="M39" s="26" t="s">
        <v>185</v>
      </c>
    </row>
    <row r="40" spans="1:13">
      <c r="A40" s="127" t="s">
        <v>169</v>
      </c>
      <c r="B40" s="58"/>
      <c r="C40" s="135">
        <f>'[2]1QNNG'!C40+'[2]1QTW'!C40</f>
        <v>484</v>
      </c>
      <c r="D40" s="135"/>
      <c r="E40" s="130">
        <f>'[2]1QNNG'!E40+'[2]1QTW'!E40</f>
        <v>0</v>
      </c>
      <c r="F40" s="58"/>
      <c r="G40" s="130">
        <f>'[2]1QNNG'!G40+'[2]1QTW'!G40</f>
        <v>0</v>
      </c>
      <c r="H40" s="58"/>
      <c r="I40" s="130">
        <f>'[2]1QNNG'!I40+'[2]1QTW'!I40</f>
        <v>0</v>
      </c>
      <c r="J40" s="58"/>
      <c r="K40" s="130">
        <f>'[2]1QNNG'!K40+'[2]1QTW'!K40</f>
        <v>0</v>
      </c>
    </row>
    <row r="41" spans="1:13">
      <c r="A41" s="58"/>
      <c r="B41" s="58"/>
      <c r="C41" s="58"/>
      <c r="D41" s="58"/>
      <c r="E41" s="126"/>
      <c r="F41" s="58"/>
      <c r="G41" s="58"/>
      <c r="H41" s="58"/>
      <c r="I41" s="58"/>
      <c r="J41" s="58"/>
      <c r="K41" s="126"/>
    </row>
    <row r="42" spans="1:13">
      <c r="A42" s="110" t="s">
        <v>186</v>
      </c>
      <c r="B42" s="110"/>
      <c r="C42" s="131">
        <f>SUM(C31:C41)</f>
        <v>8503.7916666667006</v>
      </c>
      <c r="D42" s="131"/>
      <c r="E42" s="132">
        <f>'[2]1QNNG'!E42+'[2]1QTW'!E42</f>
        <v>8060.851333333334</v>
      </c>
      <c r="F42" s="133"/>
      <c r="G42" s="131">
        <f>SUM(G31:G41)</f>
        <v>8313.6570833333353</v>
      </c>
      <c r="H42" s="134"/>
      <c r="I42" s="131">
        <f>SUM(I31:I41)</f>
        <v>8759.2565000000013</v>
      </c>
      <c r="J42" s="134"/>
      <c r="K42" s="131">
        <f>G42-I42</f>
        <v>-445.599416666666</v>
      </c>
    </row>
    <row r="43" spans="1:13">
      <c r="A43" s="58"/>
      <c r="B43" s="58"/>
      <c r="C43" s="134"/>
      <c r="D43" s="134"/>
      <c r="E43" s="134"/>
      <c r="F43" s="134"/>
      <c r="G43" s="134"/>
      <c r="H43" s="134"/>
      <c r="I43" s="134"/>
      <c r="J43" s="134"/>
      <c r="K43" s="136"/>
    </row>
    <row r="44" spans="1:13" ht="13.8" thickBot="1">
      <c r="A44" s="137" t="s">
        <v>187</v>
      </c>
      <c r="B44" s="138"/>
      <c r="C44" s="139">
        <f>C19+C28+C42</f>
        <v>46157.903000000035</v>
      </c>
      <c r="D44" s="140"/>
      <c r="E44" s="139">
        <f>E19+E28+E42</f>
        <v>48968.429916666661</v>
      </c>
      <c r="F44" s="133"/>
      <c r="G44" s="139">
        <f>G19+G28+G42</f>
        <v>45824.335666666666</v>
      </c>
      <c r="H44" s="134"/>
      <c r="I44" s="139">
        <f>I19+I28+I42</f>
        <v>51111.340583333338</v>
      </c>
      <c r="J44" s="134"/>
      <c r="K44" s="139">
        <f>G44-I44</f>
        <v>-5287.0049166666722</v>
      </c>
    </row>
    <row r="45" spans="1:13" ht="13.8" thickTop="1">
      <c r="A45" s="141"/>
      <c r="B45" s="58"/>
      <c r="C45" s="58"/>
      <c r="D45" s="58"/>
      <c r="E45" s="58"/>
      <c r="F45" s="58"/>
      <c r="G45" s="58"/>
      <c r="H45" s="58"/>
      <c r="I45" s="58"/>
      <c r="J45" s="58"/>
      <c r="K45" s="58"/>
    </row>
    <row r="46" spans="1:13">
      <c r="A46" s="142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3">
      <c r="A47" s="127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1:1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1:1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</row>
    <row r="54" spans="1:1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</row>
  </sheetData>
  <mergeCells count="1">
    <mergeCell ref="G4:K4"/>
  </mergeCells>
  <printOptions horizontalCentered="1"/>
  <pageMargins left="0.25" right="0.25" top="0.25" bottom="0.25" header="0.5" footer="0.5"/>
  <pageSetup scale="78" orientation="landscape" r:id="rId1"/>
  <headerFooter alignWithMargins="0">
    <oddFooter>&amp;RPage 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75" workbookViewId="0">
      <pane xSplit="2" ySplit="5" topLeftCell="F25" activePane="bottomRight" state="frozen"/>
      <selection activeCell="M26" sqref="M26"/>
      <selection pane="topRight" activeCell="M26" sqref="M26"/>
      <selection pane="bottomLeft" activeCell="M26" sqref="M26"/>
      <selection pane="bottomRight" activeCell="A46" sqref="A46"/>
    </sheetView>
  </sheetViews>
  <sheetFormatPr defaultRowHeight="13.2"/>
  <cols>
    <col min="1" max="1" width="29.88671875" customWidth="1"/>
    <col min="2" max="2" width="2" customWidth="1"/>
    <col min="3" max="3" width="13.44140625" customWidth="1"/>
    <col min="4" max="4" width="4" customWidth="1"/>
    <col min="5" max="5" width="13.109375" customWidth="1"/>
    <col min="6" max="6" width="5.44140625" customWidth="1"/>
    <col min="7" max="7" width="10.88671875" customWidth="1"/>
    <col min="8" max="8" width="1" customWidth="1"/>
    <col min="9" max="9" width="10.6640625" customWidth="1"/>
    <col min="10" max="10" width="1.109375" customWidth="1"/>
    <col min="11" max="11" width="14.5546875" customWidth="1"/>
    <col min="12" max="12" width="1.5546875" customWidth="1"/>
    <col min="13" max="13" width="63.44140625" customWidth="1"/>
    <col min="14" max="14" width="3.44140625" customWidth="1"/>
  </cols>
  <sheetData>
    <row r="1" spans="1:13" ht="21">
      <c r="A1" s="122" t="s">
        <v>49</v>
      </c>
    </row>
    <row r="2" spans="1:13" ht="17.399999999999999">
      <c r="A2" s="123" t="s">
        <v>188</v>
      </c>
    </row>
    <row r="4" spans="1:13">
      <c r="G4" s="177"/>
      <c r="H4" s="177"/>
      <c r="I4" s="177"/>
      <c r="J4" s="177"/>
      <c r="K4" s="177"/>
    </row>
    <row r="5" spans="1:13">
      <c r="C5" s="112" t="s">
        <v>136</v>
      </c>
      <c r="D5" s="113"/>
      <c r="E5" s="143" t="s">
        <v>137</v>
      </c>
      <c r="G5" s="112" t="s">
        <v>138</v>
      </c>
      <c r="H5" s="110"/>
      <c r="I5" s="112" t="s">
        <v>139</v>
      </c>
      <c r="J5" s="110"/>
      <c r="K5" s="112" t="s">
        <v>189</v>
      </c>
      <c r="M5" s="124" t="s">
        <v>141</v>
      </c>
    </row>
    <row r="7" spans="1:13">
      <c r="A7" s="125" t="s">
        <v>142</v>
      </c>
      <c r="B7" s="125"/>
      <c r="C7" s="125"/>
      <c r="D7" s="125"/>
      <c r="E7" s="125"/>
      <c r="F7" s="125"/>
      <c r="G7" s="125"/>
      <c r="H7" s="58"/>
      <c r="I7" s="58"/>
      <c r="J7" s="58"/>
      <c r="K7" s="58"/>
      <c r="L7" s="58"/>
    </row>
    <row r="8" spans="1:13">
      <c r="A8" s="58" t="s">
        <v>143</v>
      </c>
      <c r="B8" s="58"/>
      <c r="C8" s="126">
        <f>SUM([5]NNGSummary!D11:F11)</f>
        <v>80.625</v>
      </c>
      <c r="D8" s="126"/>
      <c r="E8" s="126">
        <f>SUM([6]NNGSummary!D11:F11)</f>
        <v>67.265333333333331</v>
      </c>
      <c r="F8" s="58"/>
      <c r="G8" s="126">
        <f>SUM([3]NNGSummary!D11:F11)</f>
        <v>67.405666666666662</v>
      </c>
      <c r="H8" s="58"/>
      <c r="I8" s="126">
        <f>SUM([4]NNGSummary!D11:F11)</f>
        <v>67.323333333333338</v>
      </c>
      <c r="J8" s="58"/>
      <c r="K8" s="126">
        <f t="shared" ref="K8:K19" si="0">G8-I8</f>
        <v>8.2333333333323822E-2</v>
      </c>
      <c r="L8" s="58"/>
    </row>
    <row r="9" spans="1:13">
      <c r="A9" s="127" t="s">
        <v>144</v>
      </c>
      <c r="B9" s="58"/>
      <c r="C9" s="126">
        <f>SUM([5]NNGSummary!D12:F12)</f>
        <v>364</v>
      </c>
      <c r="D9" s="126"/>
      <c r="E9" s="126">
        <f>SUM([6]NNGSummary!D12:F12)</f>
        <v>351.05700000000002</v>
      </c>
      <c r="F9" s="58"/>
      <c r="G9" s="126">
        <f>SUM([3]NNGSummary!D12:F12)</f>
        <v>350.47199999999998</v>
      </c>
      <c r="H9" s="58"/>
      <c r="I9" s="126">
        <f>SUM([4]NNGSummary!D12:F12)</f>
        <v>388.63</v>
      </c>
      <c r="J9" s="58"/>
      <c r="K9" s="126">
        <f t="shared" si="0"/>
        <v>-38.158000000000015</v>
      </c>
      <c r="L9" s="58"/>
      <c r="M9" t="s">
        <v>145</v>
      </c>
    </row>
    <row r="10" spans="1:13">
      <c r="A10" s="129" t="s">
        <v>146</v>
      </c>
      <c r="B10" s="58"/>
      <c r="C10" s="126">
        <f>SUM([5]NNGSummary!D13:F13)</f>
        <v>1807.9580000000001</v>
      </c>
      <c r="D10" s="126"/>
      <c r="E10" s="126">
        <f>SUM([6]NNGSummary!D13:F13)</f>
        <v>1378.8789999999999</v>
      </c>
      <c r="F10" s="58"/>
      <c r="G10" s="126">
        <f>SUM([3]NNGSummary!D13:F13)</f>
        <v>1379.1610000000001</v>
      </c>
      <c r="H10" s="58"/>
      <c r="I10" s="126">
        <f>SUM([4]NNGSummary!D13:F13)</f>
        <v>1528.875</v>
      </c>
      <c r="J10" s="58"/>
      <c r="K10" s="126">
        <f t="shared" si="0"/>
        <v>-149.71399999999994</v>
      </c>
      <c r="L10" s="58"/>
      <c r="M10" t="s">
        <v>145</v>
      </c>
    </row>
    <row r="11" spans="1:13">
      <c r="A11" s="58" t="s">
        <v>147</v>
      </c>
      <c r="B11" s="58"/>
      <c r="C11" s="126">
        <f>SUM([5]NNGSummary!D14:F14)</f>
        <v>1462</v>
      </c>
      <c r="D11" s="126"/>
      <c r="E11" s="126">
        <f>SUM([6]NNGSummary!D14:F14)</f>
        <v>2250.6743333333334</v>
      </c>
      <c r="F11" s="58"/>
      <c r="G11" s="126">
        <f>SUM([3]NNGSummary!D14:F14)</f>
        <v>2250.7936666666665</v>
      </c>
      <c r="H11" s="58"/>
      <c r="I11" s="126">
        <f>SUM([4]NNGSummary!D14:F14)</f>
        <v>2524.6999999999998</v>
      </c>
      <c r="J11" s="58"/>
      <c r="K11" s="126">
        <f t="shared" si="0"/>
        <v>-273.90633333333335</v>
      </c>
      <c r="L11" s="58"/>
      <c r="M11" s="26" t="s">
        <v>148</v>
      </c>
    </row>
    <row r="12" spans="1:13">
      <c r="A12" s="58" t="s">
        <v>149</v>
      </c>
      <c r="B12" s="58"/>
      <c r="C12" s="126">
        <f>SUM([5]NNGSummary!D16:F16)</f>
        <v>848</v>
      </c>
      <c r="D12" s="126"/>
      <c r="E12" s="126">
        <f>SUM([6]NNGSummary!D15:F15)</f>
        <v>1030.1320000000001</v>
      </c>
      <c r="F12" s="58"/>
      <c r="G12" s="126">
        <f>SUM([3]NNGSummary!D15:F15)</f>
        <v>1029.771</v>
      </c>
      <c r="H12" s="58"/>
      <c r="I12" s="126">
        <f>SUM([4]NNGSummary!D15:F15)</f>
        <v>1072.652</v>
      </c>
      <c r="J12" s="58"/>
      <c r="K12" s="126">
        <f t="shared" si="0"/>
        <v>-42.881000000000085</v>
      </c>
      <c r="L12" s="58"/>
      <c r="M12" t="s">
        <v>145</v>
      </c>
    </row>
    <row r="13" spans="1:13">
      <c r="A13" s="58" t="s">
        <v>150</v>
      </c>
      <c r="B13" s="58"/>
      <c r="C13" s="126">
        <f>SUM([5]NNGSummary!D15:F15)</f>
        <v>1313.6079999999999</v>
      </c>
      <c r="D13" s="126"/>
      <c r="E13" s="126">
        <f>SUM([6]NNGSummary!D16:F16)</f>
        <v>1306.7336666666665</v>
      </c>
      <c r="F13" s="58"/>
      <c r="G13" s="126">
        <f>SUM([3]NNGSummary!D16:F16)</f>
        <v>1306.3233333333333</v>
      </c>
      <c r="H13" s="58"/>
      <c r="I13" s="126">
        <f>SUM([4]NNGSummary!D16:F16)</f>
        <v>1306.75</v>
      </c>
      <c r="J13" s="58"/>
      <c r="K13" s="126">
        <f t="shared" si="0"/>
        <v>-0.42666666666673336</v>
      </c>
      <c r="L13" s="58"/>
    </row>
    <row r="14" spans="1:13">
      <c r="A14" s="127" t="s">
        <v>151</v>
      </c>
      <c r="B14" s="58"/>
      <c r="C14" s="126">
        <f>SUM([5]NNGSummary!D17:F17)</f>
        <v>308</v>
      </c>
      <c r="D14" s="126"/>
      <c r="E14" s="126">
        <f>SUM([6]NNGSummary!D17:F17)</f>
        <v>316.56900000000002</v>
      </c>
      <c r="F14" s="58"/>
      <c r="G14" s="126">
        <f>SUM([3]NNGSummary!D17:F17)</f>
        <v>316.59100000000001</v>
      </c>
      <c r="H14" s="58"/>
      <c r="I14" s="126">
        <f>SUM([4]NNGSummary!D17:F17)</f>
        <v>348.38499999999999</v>
      </c>
      <c r="J14" s="58"/>
      <c r="K14" s="126">
        <f t="shared" si="0"/>
        <v>-31.793999999999983</v>
      </c>
      <c r="L14" s="58"/>
      <c r="M14" t="s">
        <v>145</v>
      </c>
    </row>
    <row r="15" spans="1:13">
      <c r="A15" s="58" t="s">
        <v>152</v>
      </c>
      <c r="B15" s="58"/>
      <c r="C15" s="126">
        <f>SUM([5]NNGSummary!D18:F18)</f>
        <v>147</v>
      </c>
      <c r="D15" s="126"/>
      <c r="E15" s="126">
        <f>SUM([6]NNGSummary!D18:F18)</f>
        <v>17.737333333333332</v>
      </c>
      <c r="F15" s="58"/>
      <c r="G15" s="126">
        <f>SUM([3]NNGSummary!D18:F18)</f>
        <v>18.269666666666666</v>
      </c>
      <c r="H15" s="58"/>
      <c r="I15" s="126">
        <f>SUM([4]NNGSummary!D18:F18)</f>
        <v>20</v>
      </c>
      <c r="J15" s="58"/>
      <c r="K15" s="126">
        <f t="shared" si="0"/>
        <v>-1.7303333333333342</v>
      </c>
      <c r="L15" s="58"/>
      <c r="M15" t="s">
        <v>145</v>
      </c>
    </row>
    <row r="16" spans="1:13">
      <c r="A16" s="127" t="s">
        <v>153</v>
      </c>
      <c r="B16" s="58"/>
      <c r="C16" s="126">
        <f>SUM([5]NNGSummary!D19:F19)</f>
        <v>18823.932000000001</v>
      </c>
      <c r="D16" s="126"/>
      <c r="E16" s="126">
        <f>SUM([6]NNGSummary!D19:F19)</f>
        <v>20958.584999999999</v>
      </c>
      <c r="F16" s="58"/>
      <c r="G16" s="126">
        <f>SUM([3]NNGSummary!D19:F19)</f>
        <v>17998.508999999998</v>
      </c>
      <c r="H16" s="58"/>
      <c r="I16" s="126">
        <f>SUM([4]NNGSummary!D19:F19)</f>
        <v>21990.7</v>
      </c>
      <c r="J16" s="58"/>
      <c r="K16" s="126">
        <f t="shared" si="0"/>
        <v>-3992.1910000000025</v>
      </c>
      <c r="L16" s="58"/>
      <c r="M16" s="26" t="s">
        <v>190</v>
      </c>
    </row>
    <row r="17" spans="1:13">
      <c r="A17" s="58" t="s">
        <v>155</v>
      </c>
      <c r="B17" s="58"/>
      <c r="C17" s="126">
        <f>SUM([5]NNGSummary!D20:F20)</f>
        <v>1205.614</v>
      </c>
      <c r="D17" s="126"/>
      <c r="E17" s="126">
        <f>SUM([6]NNGSummary!D20:F20)</f>
        <v>1012.8340000000001</v>
      </c>
      <c r="F17" s="58"/>
      <c r="G17" s="126">
        <f>SUM([3]NNGSummary!D20:F20)</f>
        <v>1020.1353333333333</v>
      </c>
      <c r="H17" s="58"/>
      <c r="I17" s="126">
        <f>SUM([4]NNGSummary!D20:F20)</f>
        <v>1015.854</v>
      </c>
      <c r="J17" s="58"/>
      <c r="K17" s="126">
        <f t="shared" si="0"/>
        <v>4.2813333333332366</v>
      </c>
      <c r="L17" s="58"/>
    </row>
    <row r="18" spans="1:13">
      <c r="A18" s="127" t="s">
        <v>157</v>
      </c>
      <c r="B18" s="58"/>
      <c r="C18" s="144">
        <f>SUM([5]NNGSummary!$D$21:$F$24)</f>
        <v>175.33333333333334</v>
      </c>
      <c r="D18" s="144"/>
      <c r="E18" s="144">
        <f>SUM([6]NNGSummary!D21:F21)</f>
        <v>-61.899999999999977</v>
      </c>
      <c r="F18" s="58"/>
      <c r="G18" s="130">
        <f>SUM([3]NNGSummary!D21:F21)</f>
        <v>-61.899999999999977</v>
      </c>
      <c r="H18" s="58"/>
      <c r="I18" s="130">
        <f>SUM([4]NNGSummary!$D$21:$F$24)</f>
        <v>-500</v>
      </c>
      <c r="J18" s="58"/>
      <c r="K18" s="130">
        <f t="shared" si="0"/>
        <v>438.1</v>
      </c>
      <c r="L18" s="58"/>
    </row>
    <row r="19" spans="1:13">
      <c r="A19" s="110" t="s">
        <v>158</v>
      </c>
      <c r="B19" s="110"/>
      <c r="C19" s="131">
        <f>SUM(C8:C18)</f>
        <v>26536.070333333333</v>
      </c>
      <c r="D19" s="131"/>
      <c r="E19" s="131">
        <f>SUM(E8:E18)</f>
        <v>28628.566666666662</v>
      </c>
      <c r="F19" s="133"/>
      <c r="G19" s="131">
        <f>SUM(G8:G18)</f>
        <v>25675.531666666662</v>
      </c>
      <c r="H19" s="134"/>
      <c r="I19" s="131">
        <f>SUM(I8:I18)</f>
        <v>29763.869333333336</v>
      </c>
      <c r="J19" s="58"/>
      <c r="K19" s="132">
        <f t="shared" si="0"/>
        <v>-4088.3376666666736</v>
      </c>
      <c r="L19" s="58"/>
    </row>
    <row r="20" spans="1:1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3">
      <c r="A21" s="125" t="s">
        <v>159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1:13">
      <c r="A22" s="58" t="s">
        <v>160</v>
      </c>
      <c r="B22" s="58"/>
      <c r="C22" s="126">
        <f>SUM([5]NNGSummary!D28:F28)</f>
        <v>618.82000000000005</v>
      </c>
      <c r="D22" s="126"/>
      <c r="E22" s="126">
        <f>SUM([6]NNGSummary!D25:F25)</f>
        <v>321.98166666666663</v>
      </c>
      <c r="F22" s="58"/>
      <c r="G22" s="126">
        <f>SUM([3]NNGSummary!D25:F25)</f>
        <v>522.16008333333332</v>
      </c>
      <c r="H22" s="58"/>
      <c r="I22" s="126">
        <f>SUM([4]NNGSummary!D28:F28)</f>
        <v>628.96524999999997</v>
      </c>
      <c r="J22" s="58"/>
      <c r="K22" s="126">
        <f t="shared" ref="K22:K28" si="1">G22-I22</f>
        <v>-106.80516666666665</v>
      </c>
      <c r="L22" s="58"/>
      <c r="M22" s="26" t="s">
        <v>163</v>
      </c>
    </row>
    <row r="23" spans="1:13">
      <c r="A23" s="58" t="s">
        <v>162</v>
      </c>
      <c r="B23" s="58"/>
      <c r="C23" s="126">
        <f>SUM([5]NNGSummary!D29:F29)</f>
        <v>1075.346</v>
      </c>
      <c r="D23" s="126"/>
      <c r="E23" s="126">
        <f>SUM([6]NNGSummary!D26:F26)</f>
        <v>829.28583333333336</v>
      </c>
      <c r="F23" s="58"/>
      <c r="G23" s="126">
        <f>SUM([3]NNGSummary!D26:F26)</f>
        <v>828.79808333333335</v>
      </c>
      <c r="H23" s="58"/>
      <c r="I23" s="126">
        <f>SUM([4]NNGSummary!D29:F29)</f>
        <v>927.85925000000009</v>
      </c>
      <c r="J23" s="58"/>
      <c r="K23" s="126">
        <f t="shared" si="1"/>
        <v>-99.061166666666736</v>
      </c>
      <c r="L23" s="58"/>
      <c r="M23" t="s">
        <v>163</v>
      </c>
    </row>
    <row r="24" spans="1:13">
      <c r="A24" s="58" t="s">
        <v>164</v>
      </c>
      <c r="B24" s="58"/>
      <c r="C24" s="126">
        <f>SUM([5]NNGSummary!D30:F30)</f>
        <v>775.72700000000009</v>
      </c>
      <c r="D24" s="126"/>
      <c r="E24" s="126">
        <f>SUM([6]NNGSummary!D27:F27)</f>
        <v>1156.0249999999999</v>
      </c>
      <c r="F24" s="58"/>
      <c r="G24" s="126">
        <f>SUM([3]NNGSummary!D27:F27)</f>
        <v>1155.9249999999997</v>
      </c>
      <c r="H24" s="58"/>
      <c r="I24" s="126">
        <f>SUM([4]NNGSummary!D30:F30)</f>
        <v>1155.5249999999999</v>
      </c>
      <c r="J24" s="58"/>
      <c r="K24" s="126">
        <f t="shared" si="1"/>
        <v>0.39999999999986358</v>
      </c>
      <c r="L24" s="58"/>
    </row>
    <row r="25" spans="1:13">
      <c r="A25" s="58" t="s">
        <v>165</v>
      </c>
      <c r="B25" s="58"/>
      <c r="C25" s="126">
        <f>SUM([5]NNGSummary!D31:F31)</f>
        <v>438.36100000000005</v>
      </c>
      <c r="D25" s="126"/>
      <c r="E25" s="126">
        <f>SUM([6]NNGSummary!D28:F28)</f>
        <v>458.67750000000001</v>
      </c>
      <c r="F25" s="58"/>
      <c r="G25" s="126">
        <f>SUM([3]NNGSummary!D28:F28)</f>
        <v>459.00741666666664</v>
      </c>
      <c r="H25" s="58"/>
      <c r="I25" s="126">
        <f>SUM([4]NNGSummary!D31:F31)</f>
        <v>591.58175000000006</v>
      </c>
      <c r="J25" s="58"/>
      <c r="K25" s="126">
        <f t="shared" si="1"/>
        <v>-132.57433333333341</v>
      </c>
      <c r="L25" s="58"/>
      <c r="M25" s="26" t="s">
        <v>191</v>
      </c>
    </row>
    <row r="26" spans="1:13">
      <c r="A26" s="127" t="s">
        <v>167</v>
      </c>
      <c r="B26" s="58"/>
      <c r="C26" s="126">
        <f>SUM([5]NNGSummary!D32:F32)</f>
        <v>417.05500000000001</v>
      </c>
      <c r="D26" s="126"/>
      <c r="E26" s="126">
        <f>SUM([6]NNGSummary!D29:F29)</f>
        <v>757.00266666666664</v>
      </c>
      <c r="F26" s="58"/>
      <c r="G26" s="126">
        <f>SUM([3]NNGSummary!D29:F29)</f>
        <v>886.50183333333325</v>
      </c>
      <c r="H26" s="58"/>
      <c r="I26" s="126">
        <f>SUM([4]NNGSummary!D32:F32)</f>
        <v>410.92250000000001</v>
      </c>
      <c r="J26" s="58"/>
      <c r="K26" s="126">
        <f t="shared" si="1"/>
        <v>475.57933333333324</v>
      </c>
      <c r="L26" s="58"/>
      <c r="M26" s="26" t="s">
        <v>192</v>
      </c>
    </row>
    <row r="27" spans="1:13">
      <c r="A27" s="58" t="s">
        <v>169</v>
      </c>
      <c r="B27" s="58"/>
      <c r="C27" s="130">
        <f>SUM([5]NNGSummary!$D$33:$F$35)</f>
        <v>297</v>
      </c>
      <c r="D27" s="130"/>
      <c r="E27" s="130">
        <f>SUM([6]NNGSummary!D30:F30)</f>
        <v>0</v>
      </c>
      <c r="F27" s="58"/>
      <c r="G27" s="130">
        <f>SUM([3]NNGSummary!D30:F30)</f>
        <v>0</v>
      </c>
      <c r="H27" s="58"/>
      <c r="I27" s="130">
        <f>SUM([4]NNGSummary!$D$33:$F$35)</f>
        <v>0</v>
      </c>
      <c r="J27" s="58"/>
      <c r="K27" s="130">
        <f t="shared" si="1"/>
        <v>0</v>
      </c>
      <c r="L27" s="58"/>
      <c r="M27" t="s">
        <v>193</v>
      </c>
    </row>
    <row r="28" spans="1:13">
      <c r="A28" s="110" t="s">
        <v>170</v>
      </c>
      <c r="B28" s="110"/>
      <c r="C28" s="131">
        <f>SUM(C22:C27)</f>
        <v>3622.3089999999997</v>
      </c>
      <c r="D28" s="131"/>
      <c r="E28" s="131">
        <f>SUM(E22:E27)</f>
        <v>3522.9726666666661</v>
      </c>
      <c r="F28" s="133"/>
      <c r="G28" s="131">
        <f>SUM(G22:G27)</f>
        <v>3852.3924166666666</v>
      </c>
      <c r="H28" s="134"/>
      <c r="I28" s="131">
        <f>SUM(I22:I27)</f>
        <v>3714.8537500000007</v>
      </c>
      <c r="J28" s="134"/>
      <c r="K28" s="131">
        <f t="shared" si="1"/>
        <v>137.5386666666659</v>
      </c>
      <c r="L28" s="58"/>
    </row>
    <row r="29" spans="1:1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 spans="1:13">
      <c r="A30" s="125" t="s">
        <v>171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3">
      <c r="A31" s="58" t="s">
        <v>172</v>
      </c>
      <c r="B31" s="58"/>
      <c r="C31" s="126">
        <f>SUM([5]NNGSummary!D39:F39)</f>
        <v>1911.3000000000002</v>
      </c>
      <c r="D31" s="126"/>
      <c r="E31" s="126">
        <f>SUM([6]NNGSummary!D34:F34)</f>
        <v>1605.7000000000003</v>
      </c>
      <c r="F31" s="58"/>
      <c r="G31" s="126">
        <f>SUM([3]NNGSummary!D34:F34)</f>
        <v>1605.9000000000003</v>
      </c>
      <c r="H31" s="58"/>
      <c r="I31" s="128">
        <f>SUM([4]NNGSummary!D39:F39)</f>
        <v>1605.5000000000002</v>
      </c>
      <c r="J31" s="58"/>
      <c r="K31" s="128">
        <f t="shared" ref="K31:K40" si="2">G31-I31</f>
        <v>0.40000000000009095</v>
      </c>
      <c r="L31" s="58"/>
    </row>
    <row r="32" spans="1:13">
      <c r="A32" s="58" t="s">
        <v>173</v>
      </c>
      <c r="B32" s="58"/>
      <c r="C32" s="126">
        <f>SUM([5]NNGSummary!D40:F40)-C33</f>
        <v>109.91800000000012</v>
      </c>
      <c r="D32" s="126"/>
      <c r="E32" s="126">
        <f>SUM([6]NNGSummary!D35:F35)</f>
        <v>47.969999999999914</v>
      </c>
      <c r="F32" s="58"/>
      <c r="G32" s="126">
        <f>SUM([3]NNGSummary!D35:F35)</f>
        <v>104.10999999999996</v>
      </c>
      <c r="H32" s="58"/>
      <c r="I32" s="126">
        <f>SUM([4]NNGSummary!D40:F40)</f>
        <v>132.24999999999994</v>
      </c>
      <c r="J32" s="58"/>
      <c r="K32" s="126">
        <f t="shared" si="2"/>
        <v>-28.139999999999986</v>
      </c>
      <c r="L32" s="58"/>
      <c r="M32" s="27" t="s">
        <v>194</v>
      </c>
    </row>
    <row r="33" spans="1:13">
      <c r="A33" s="58" t="s">
        <v>175</v>
      </c>
      <c r="B33" s="58"/>
      <c r="C33" s="126">
        <f>SUM([5]NNGMMF!$D$67:$F$67)</f>
        <v>1196.6999999999998</v>
      </c>
      <c r="D33" s="126"/>
      <c r="E33" s="126">
        <f>SUM([6]NNGSummary!D36:F36)</f>
        <v>1326.125</v>
      </c>
      <c r="F33" s="58"/>
      <c r="G33" s="126">
        <f>SUM([3]NNGSummary!D36:F36)</f>
        <v>1326.125</v>
      </c>
      <c r="H33" s="58"/>
      <c r="I33" s="126">
        <f>SUM([4]NNGSummary!D41:F41)</f>
        <v>1326.125</v>
      </c>
      <c r="J33" s="58"/>
      <c r="K33" s="126">
        <f t="shared" si="2"/>
        <v>0</v>
      </c>
      <c r="L33" s="58"/>
    </row>
    <row r="34" spans="1:13">
      <c r="A34" s="127" t="s">
        <v>176</v>
      </c>
      <c r="B34" s="58"/>
      <c r="C34" s="126">
        <f>SUM([5]NNGSummary!D41:F41)</f>
        <v>105.5</v>
      </c>
      <c r="D34" s="126"/>
      <c r="E34" s="126">
        <f>SUM([6]NNGSummary!D37:F37)</f>
        <v>106.35</v>
      </c>
      <c r="F34" s="58"/>
      <c r="G34" s="126">
        <f>SUM([3]NNGSummary!D37:F37)</f>
        <v>104.35</v>
      </c>
      <c r="H34" s="58"/>
      <c r="I34" s="126">
        <f>SUM([4]NNGSummary!D42:F42)</f>
        <v>106.55</v>
      </c>
      <c r="J34" s="58"/>
      <c r="K34" s="126">
        <f t="shared" si="2"/>
        <v>-2.2000000000000028</v>
      </c>
      <c r="L34" s="58"/>
    </row>
    <row r="35" spans="1:13">
      <c r="A35" s="129" t="s">
        <v>177</v>
      </c>
      <c r="B35" s="58"/>
      <c r="C35" s="128">
        <f>SUM([5]NNGSummary!D42:F42)+SUM([5]NNGSummary!$D$47:$F$47)+969</f>
        <v>1339.6076666666668</v>
      </c>
      <c r="D35" s="128"/>
      <c r="E35" s="126">
        <f>SUM([6]NNGSummary!D38:F38)</f>
        <v>2025.8416666666667</v>
      </c>
      <c r="F35" s="58"/>
      <c r="G35" s="126">
        <f>SUM([3]NNGSummary!D38:F38)</f>
        <v>2149.7617500000001</v>
      </c>
      <c r="H35" s="58"/>
      <c r="I35" s="126">
        <f>SUM([4]NNGSummary!D43:F43)</f>
        <v>1965.8892500000002</v>
      </c>
      <c r="J35" s="58"/>
      <c r="K35" s="126">
        <f t="shared" si="2"/>
        <v>183.87249999999995</v>
      </c>
      <c r="L35" s="58"/>
      <c r="M35" s="26" t="s">
        <v>195</v>
      </c>
    </row>
    <row r="36" spans="1:13">
      <c r="A36" s="129" t="s">
        <v>179</v>
      </c>
      <c r="B36" s="58"/>
      <c r="C36" s="126">
        <f>SUM([5]NNGSummary!D43:F43)</f>
        <v>490.9</v>
      </c>
      <c r="D36" s="126"/>
      <c r="E36" s="126">
        <f>SUM([6]NNGSummary!D39:F39)</f>
        <v>415.76333333333332</v>
      </c>
      <c r="F36" s="58"/>
      <c r="G36" s="126">
        <f>SUM([3]NNGSummary!D39:F39)</f>
        <v>415.25466666666665</v>
      </c>
      <c r="H36" s="58"/>
      <c r="I36" s="126">
        <f>SUM([4]NNGSummary!D44:F44)</f>
        <v>415.625</v>
      </c>
      <c r="J36" s="58"/>
      <c r="K36" s="126">
        <f t="shared" si="2"/>
        <v>-0.37033333333334895</v>
      </c>
      <c r="L36" s="58"/>
    </row>
    <row r="37" spans="1:13">
      <c r="A37" s="129" t="s">
        <v>180</v>
      </c>
      <c r="B37" s="58"/>
      <c r="C37" s="126">
        <f>SUM([5]NNGSummary!D44:F44)</f>
        <v>464</v>
      </c>
      <c r="D37" s="126"/>
      <c r="E37" s="126">
        <f>SUM([6]NNGSummary!D40:F40)</f>
        <v>160.22466666666668</v>
      </c>
      <c r="F37" s="58"/>
      <c r="G37" s="126">
        <f>SUM([3]NNGSummary!D40:F40)</f>
        <v>27.87833333333333</v>
      </c>
      <c r="H37" s="58"/>
      <c r="I37" s="126">
        <f>SUM([4]NNGSummary!D45:F45)</f>
        <v>477.92500000000001</v>
      </c>
      <c r="J37" s="58"/>
      <c r="K37" s="126">
        <f t="shared" si="2"/>
        <v>-450.04666666666668</v>
      </c>
      <c r="L37" s="58"/>
      <c r="M37" s="26" t="s">
        <v>196</v>
      </c>
    </row>
    <row r="38" spans="1:13">
      <c r="A38" s="129" t="s">
        <v>182</v>
      </c>
      <c r="B38" s="58"/>
      <c r="C38" s="128">
        <f>SUM([5]NNGSummary!D45:F45)+98</f>
        <v>575.76</v>
      </c>
      <c r="D38" s="128"/>
      <c r="E38" s="126">
        <f>SUM([6]NNGSummary!D41:F41)</f>
        <v>544.59466666666663</v>
      </c>
      <c r="F38" s="58"/>
      <c r="G38" s="126">
        <f>SUM([3]NNGSummary!D41:F41)</f>
        <v>531.81133333333332</v>
      </c>
      <c r="H38" s="58"/>
      <c r="I38" s="126">
        <f>SUM([4]NNGSummary!D46:F46)</f>
        <v>583.58950000000004</v>
      </c>
      <c r="J38" s="58"/>
      <c r="K38" s="126">
        <f t="shared" si="2"/>
        <v>-51.778166666666721</v>
      </c>
      <c r="L38" s="58"/>
      <c r="M38" s="26" t="s">
        <v>197</v>
      </c>
    </row>
    <row r="39" spans="1:13">
      <c r="A39" s="129" t="s">
        <v>184</v>
      </c>
      <c r="B39" s="58"/>
      <c r="C39" s="126">
        <f>SUM([5]NNGSummary!D46:F46)</f>
        <v>373.584</v>
      </c>
      <c r="D39" s="126"/>
      <c r="E39" s="126">
        <f>SUM([6]NNGSummary!D42:F42)</f>
        <v>125</v>
      </c>
      <c r="F39" s="58"/>
      <c r="G39" s="126">
        <f>SUM([3]NNGSummary!D42:F42)</f>
        <v>125</v>
      </c>
      <c r="H39" s="58"/>
      <c r="I39" s="126">
        <f>SUM([4]NNGSummary!D47:F47)</f>
        <v>373.03174999999999</v>
      </c>
      <c r="J39" s="58"/>
      <c r="K39" s="126">
        <f t="shared" si="2"/>
        <v>-248.03174999999999</v>
      </c>
      <c r="L39" s="58"/>
      <c r="M39" s="26" t="s">
        <v>198</v>
      </c>
    </row>
    <row r="40" spans="1:13">
      <c r="A40" s="127" t="s">
        <v>169</v>
      </c>
      <c r="B40" s="58"/>
      <c r="C40" s="145">
        <f>SUM([5]NNGSummary!$D$48:$F$48)-969-98</f>
        <v>224</v>
      </c>
      <c r="D40" s="145"/>
      <c r="E40" s="130">
        <f>SUM([6]NNGSummary!D43:F43)</f>
        <v>0</v>
      </c>
      <c r="F40" s="58"/>
      <c r="G40" s="144">
        <f>SUM([3]NNGSummary!D43:F43)</f>
        <v>0</v>
      </c>
      <c r="H40" s="58"/>
      <c r="I40" s="144">
        <f>SUM([4]NNGSummary!D48:F48)</f>
        <v>0</v>
      </c>
      <c r="J40" s="58"/>
      <c r="K40" s="130">
        <f t="shared" si="2"/>
        <v>0</v>
      </c>
      <c r="L40" s="58"/>
    </row>
    <row r="41" spans="1:13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126"/>
      <c r="L41" s="58"/>
    </row>
    <row r="42" spans="1:13">
      <c r="A42" s="110" t="s">
        <v>186</v>
      </c>
      <c r="B42" s="110"/>
      <c r="C42" s="131">
        <f>SUM(C31:C41)</f>
        <v>6791.2696666666661</v>
      </c>
      <c r="D42" s="131"/>
      <c r="E42" s="131">
        <f>SUM(E31:E41)</f>
        <v>6357.5693333333338</v>
      </c>
      <c r="F42" s="133"/>
      <c r="G42" s="131">
        <f>SUM(G31:G41)</f>
        <v>6390.1910833333332</v>
      </c>
      <c r="H42" s="134"/>
      <c r="I42" s="131">
        <f>SUM(I31:I41)</f>
        <v>6986.4855000000007</v>
      </c>
      <c r="J42" s="134"/>
      <c r="K42" s="131">
        <f>G42-I42</f>
        <v>-596.29441666666753</v>
      </c>
      <c r="L42" s="58"/>
    </row>
    <row r="43" spans="1:13">
      <c r="A43" s="58"/>
      <c r="B43" s="58"/>
      <c r="C43" s="134"/>
      <c r="D43" s="134"/>
      <c r="E43" s="134"/>
      <c r="F43" s="134"/>
      <c r="G43" s="134"/>
      <c r="H43" s="134"/>
      <c r="I43" s="134"/>
      <c r="J43" s="134"/>
      <c r="K43" s="131"/>
      <c r="L43" s="58"/>
    </row>
    <row r="44" spans="1:13" ht="13.8" thickBot="1">
      <c r="A44" s="137" t="s">
        <v>187</v>
      </c>
      <c r="B44" s="138"/>
      <c r="C44" s="139">
        <f>C19+C28+C42</f>
        <v>36949.648999999998</v>
      </c>
      <c r="D44" s="140"/>
      <c r="E44" s="139">
        <f>E19+E28+E42</f>
        <v>38509.10866666666</v>
      </c>
      <c r="F44" s="133"/>
      <c r="G44" s="139">
        <f>G19+G28+G42</f>
        <v>35918.115166666663</v>
      </c>
      <c r="H44" s="134"/>
      <c r="I44" s="139">
        <f>I19+I28+I42</f>
        <v>40465.20858333334</v>
      </c>
      <c r="J44" s="134"/>
      <c r="K44" s="139">
        <f>G44-I44</f>
        <v>-4547.0934166666775</v>
      </c>
      <c r="L44" s="58"/>
    </row>
    <row r="45" spans="1:13" ht="13.8" thickTop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</row>
    <row r="46" spans="1:13">
      <c r="A46" s="146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</row>
    <row r="47" spans="1:1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</row>
    <row r="49" spans="1:1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</row>
    <row r="50" spans="1:1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</row>
    <row r="51" spans="1:1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</row>
    <row r="52" spans="1:1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</row>
  </sheetData>
  <mergeCells count="1">
    <mergeCell ref="G4:K4"/>
  </mergeCells>
  <printOptions horizontalCentered="1"/>
  <pageMargins left="0.25" right="0.25" top="0.5" bottom="0.5" header="0.5" footer="0.5"/>
  <pageSetup scale="75" orientation="landscape" r:id="rId1"/>
  <headerFooter alignWithMargins="0">
    <oddFooter>&amp;RPage 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9" zoomScale="75" workbookViewId="0">
      <selection activeCell="A46" sqref="A46"/>
    </sheetView>
  </sheetViews>
  <sheetFormatPr defaultRowHeight="13.2"/>
  <cols>
    <col min="1" max="1" width="30" customWidth="1"/>
    <col min="2" max="2" width="2.44140625" customWidth="1"/>
    <col min="3" max="3" width="12.109375" customWidth="1"/>
    <col min="4" max="4" width="2.44140625" customWidth="1"/>
    <col min="5" max="5" width="14.6640625" customWidth="1"/>
    <col min="6" max="6" width="1.88671875" customWidth="1"/>
    <col min="7" max="7" width="9.44140625" customWidth="1"/>
    <col min="8" max="8" width="1.109375" customWidth="1"/>
    <col min="9" max="9" width="10.33203125" customWidth="1"/>
    <col min="10" max="10" width="2.109375" customWidth="1"/>
    <col min="11" max="11" width="15" customWidth="1"/>
    <col min="12" max="12" width="44.6640625" customWidth="1"/>
  </cols>
  <sheetData>
    <row r="1" spans="1:12" ht="21">
      <c r="A1" s="122" t="s">
        <v>199</v>
      </c>
    </row>
    <row r="2" spans="1:12" ht="17.399999999999999">
      <c r="A2" s="123" t="s">
        <v>188</v>
      </c>
    </row>
    <row r="4" spans="1:12">
      <c r="G4" s="177"/>
      <c r="H4" s="177"/>
      <c r="I4" s="177"/>
      <c r="J4" s="177"/>
      <c r="K4" s="177"/>
    </row>
    <row r="5" spans="1:12">
      <c r="C5" s="112" t="s">
        <v>136</v>
      </c>
      <c r="D5" s="113"/>
      <c r="E5" s="112" t="s">
        <v>137</v>
      </c>
      <c r="G5" s="112" t="s">
        <v>138</v>
      </c>
      <c r="H5" s="110"/>
      <c r="I5" s="112" t="s">
        <v>139</v>
      </c>
      <c r="J5" s="110"/>
      <c r="K5" s="112" t="s">
        <v>189</v>
      </c>
      <c r="L5" s="124" t="s">
        <v>141</v>
      </c>
    </row>
    <row r="7" spans="1:12">
      <c r="A7" s="125" t="s">
        <v>142</v>
      </c>
      <c r="B7" s="125"/>
      <c r="C7" s="125"/>
      <c r="D7" s="125"/>
      <c r="E7" s="125"/>
      <c r="F7" s="125"/>
      <c r="G7" s="125"/>
      <c r="H7" s="58"/>
      <c r="I7" s="58"/>
      <c r="J7" s="58"/>
      <c r="K7" s="58"/>
    </row>
    <row r="8" spans="1:12">
      <c r="A8" s="58" t="s">
        <v>143</v>
      </c>
      <c r="B8" s="58"/>
      <c r="C8" s="126">
        <f>SUM('[5]TW SUMMARY'!D11:F11)</f>
        <v>0</v>
      </c>
      <c r="D8" s="126"/>
      <c r="E8" s="126">
        <f>SUM('[6]TW SUMMARY'!D11:F11)</f>
        <v>21.24666666666667</v>
      </c>
      <c r="F8" s="58"/>
      <c r="G8" s="126">
        <f>SUM('[3]TW SUMMARY'!D11:F11)</f>
        <v>20.772333333333336</v>
      </c>
      <c r="H8" s="58"/>
      <c r="I8" s="126">
        <f>SUM('[4]TW SUMMARY'!D11:F11)</f>
        <v>21.25</v>
      </c>
      <c r="J8" s="58"/>
      <c r="K8" s="126">
        <f t="shared" ref="K8:K19" si="0">G8-I8</f>
        <v>-0.47766666666666424</v>
      </c>
    </row>
    <row r="9" spans="1:12">
      <c r="A9" s="127" t="s">
        <v>144</v>
      </c>
      <c r="B9" s="58"/>
      <c r="C9" s="126">
        <f>SUM('[5]TW SUMMARY'!D12:F12)</f>
        <v>100.425</v>
      </c>
      <c r="D9" s="126"/>
      <c r="E9" s="126">
        <f>SUM('[6]TW SUMMARY'!D12:F12)</f>
        <v>106.21599999999998</v>
      </c>
      <c r="F9" s="58"/>
      <c r="G9" s="126">
        <f>SUM('[3]TW SUMMARY'!D12:F12)</f>
        <v>106.752</v>
      </c>
      <c r="H9" s="58"/>
      <c r="I9" s="126">
        <f>SUM('[4]TW SUMMARY'!D12:F12)</f>
        <v>118.684</v>
      </c>
      <c r="J9" s="58"/>
      <c r="K9" s="126">
        <f t="shared" si="0"/>
        <v>-11.932000000000002</v>
      </c>
      <c r="L9" t="s">
        <v>145</v>
      </c>
    </row>
    <row r="10" spans="1:12">
      <c r="A10" s="129" t="s">
        <v>146</v>
      </c>
      <c r="B10" s="58"/>
      <c r="C10" s="126">
        <f>SUM('[5]TW SUMMARY'!D13:F13)</f>
        <v>287.245</v>
      </c>
      <c r="D10" s="126"/>
      <c r="E10" s="126">
        <f>SUM('[6]TW SUMMARY'!D13:F13)</f>
        <v>330.85900000000004</v>
      </c>
      <c r="F10" s="58"/>
      <c r="G10" s="126">
        <f>SUM('[3]TW SUMMARY'!D13:F13)</f>
        <v>331.20400000000001</v>
      </c>
      <c r="H10" s="58"/>
      <c r="I10" s="126">
        <f>SUM('[4]TW SUMMARY'!D13:F13)</f>
        <v>330.82499999999999</v>
      </c>
      <c r="J10" s="58"/>
      <c r="K10" s="126">
        <f t="shared" si="0"/>
        <v>0.3790000000000191</v>
      </c>
    </row>
    <row r="11" spans="1:12">
      <c r="A11" s="58" t="s">
        <v>147</v>
      </c>
      <c r="B11" s="58"/>
      <c r="C11" s="126">
        <f>SUM('[5]TW SUMMARY'!D14:F14)</f>
        <v>191</v>
      </c>
      <c r="D11" s="126"/>
      <c r="E11" s="126">
        <f>SUM('[6]TW SUMMARY'!D14:F14)</f>
        <v>216.32133333333334</v>
      </c>
      <c r="F11" s="58"/>
      <c r="G11" s="126">
        <f>SUM('[3]TW SUMMARY'!D14:F14)</f>
        <v>216.02466666666666</v>
      </c>
      <c r="H11" s="58"/>
      <c r="I11" s="126">
        <f>SUM('[4]TW SUMMARY'!D14:F14)</f>
        <v>241.32499999999999</v>
      </c>
      <c r="J11" s="58"/>
      <c r="K11" s="126">
        <f t="shared" si="0"/>
        <v>-25.300333333333327</v>
      </c>
      <c r="L11" t="s">
        <v>145</v>
      </c>
    </row>
    <row r="12" spans="1:12">
      <c r="A12" s="58" t="s">
        <v>149</v>
      </c>
      <c r="B12" s="58"/>
      <c r="C12" s="126">
        <f>SUM('[5]TW SUMMARY'!D16:F16)</f>
        <v>96</v>
      </c>
      <c r="D12" s="126"/>
      <c r="E12" s="126">
        <f>SUM('[6]TW SUMMARY'!D15:F15)</f>
        <v>97.277999999999992</v>
      </c>
      <c r="F12" s="58"/>
      <c r="G12" s="126">
        <f>SUM('[3]TW SUMMARY'!D15:F15)</f>
        <v>96.562999999999988</v>
      </c>
      <c r="H12" s="58"/>
      <c r="I12" s="126">
        <f>SUM('[4]TW SUMMARY'!D15:F15)</f>
        <v>104.783</v>
      </c>
      <c r="J12" s="58"/>
      <c r="K12" s="126">
        <f t="shared" si="0"/>
        <v>-8.2200000000000131</v>
      </c>
      <c r="L12" t="s">
        <v>145</v>
      </c>
    </row>
    <row r="13" spans="1:12">
      <c r="A13" s="58" t="s">
        <v>150</v>
      </c>
      <c r="B13" s="58"/>
      <c r="C13" s="126">
        <f>SUM('[5]TW SUMMARY'!D15:F15)</f>
        <v>298</v>
      </c>
      <c r="D13" s="126"/>
      <c r="E13" s="126">
        <f>SUM('[6]TW SUMMARY'!D16:F16)</f>
        <v>415.27533333333332</v>
      </c>
      <c r="F13" s="58"/>
      <c r="G13" s="126">
        <f>SUM('[3]TW SUMMARY'!D16:F16)</f>
        <v>415.3896666666667</v>
      </c>
      <c r="H13" s="58"/>
      <c r="I13" s="126">
        <f>SUM('[4]TW SUMMARY'!D16:F16)</f>
        <v>415.25</v>
      </c>
      <c r="J13" s="58"/>
      <c r="K13" s="126">
        <f t="shared" si="0"/>
        <v>0.1396666666666988</v>
      </c>
    </row>
    <row r="14" spans="1:12">
      <c r="A14" s="127" t="s">
        <v>151</v>
      </c>
      <c r="B14" s="58"/>
      <c r="C14" s="126">
        <f>SUM('[5]TW SUMMARY'!D17:F17)</f>
        <v>45.4</v>
      </c>
      <c r="D14" s="126"/>
      <c r="E14" s="126">
        <f>SUM('[6]TW SUMMARY'!D17:F17)</f>
        <v>58.531000000000006</v>
      </c>
      <c r="F14" s="58"/>
      <c r="G14" s="126">
        <f>SUM('[3]TW SUMMARY'!D17:F17)</f>
        <v>58.673000000000002</v>
      </c>
      <c r="H14" s="58"/>
      <c r="I14" s="126">
        <f>SUM('[4]TW SUMMARY'!D17:F17)</f>
        <v>61.942000000000007</v>
      </c>
      <c r="J14" s="58"/>
      <c r="K14" s="126">
        <f t="shared" si="0"/>
        <v>-3.2690000000000055</v>
      </c>
      <c r="L14" t="s">
        <v>145</v>
      </c>
    </row>
    <row r="15" spans="1:12">
      <c r="A15" s="58" t="s">
        <v>152</v>
      </c>
      <c r="B15" s="58"/>
      <c r="C15" s="126">
        <f>SUM('[5]TW SUMMARY'!D18:F18)</f>
        <v>156</v>
      </c>
      <c r="D15" s="126"/>
      <c r="E15" s="126">
        <f>SUM('[6]TW SUMMARY'!D18:F18)</f>
        <v>280.30499999999995</v>
      </c>
      <c r="F15" s="58"/>
      <c r="G15" s="126">
        <f>SUM('[3]TW SUMMARY'!D18:F18)</f>
        <v>279.37</v>
      </c>
      <c r="H15" s="58"/>
      <c r="I15" s="126">
        <f>SUM('[4]TW SUMMARY'!D18:F18)</f>
        <v>302.84199999999998</v>
      </c>
      <c r="J15" s="58"/>
      <c r="K15" s="126">
        <f t="shared" si="0"/>
        <v>-23.47199999999998</v>
      </c>
    </row>
    <row r="16" spans="1:12">
      <c r="A16" s="127" t="s">
        <v>153</v>
      </c>
      <c r="B16" s="58"/>
      <c r="C16" s="126">
        <f>SUM('[5]TW SUMMARY'!D19:F19)</f>
        <v>4716.9619999999995</v>
      </c>
      <c r="D16" s="126"/>
      <c r="E16" s="126">
        <f>SUM('[6]TW SUMMARY'!D19:F19)</f>
        <v>4943.0990000000002</v>
      </c>
      <c r="F16" s="58"/>
      <c r="G16" s="126">
        <f>SUM('[3]TW SUMMARY'!D19:F19)</f>
        <v>4500.0059999999994</v>
      </c>
      <c r="H16" s="58"/>
      <c r="I16" s="126">
        <f>SUM('[4]TW SUMMARY'!D19:F19)</f>
        <v>5096.5</v>
      </c>
      <c r="J16" s="58"/>
      <c r="K16" s="126">
        <f t="shared" si="0"/>
        <v>-596.4940000000006</v>
      </c>
      <c r="L16" s="26" t="s">
        <v>200</v>
      </c>
    </row>
    <row r="17" spans="1:12">
      <c r="A17" s="58" t="s">
        <v>155</v>
      </c>
      <c r="B17" s="58"/>
      <c r="C17" s="126">
        <f>SUM('[5]TW SUMMARY'!D20:F20)</f>
        <v>751.06200000000013</v>
      </c>
      <c r="D17" s="126"/>
      <c r="E17" s="126">
        <f>SUM('[6]TW SUMMARY'!D20:F20)</f>
        <v>836.02500000000009</v>
      </c>
      <c r="F17" s="58"/>
      <c r="G17" s="126">
        <f>SUM('[3]TW SUMMARY'!D20:F20)</f>
        <v>649.125</v>
      </c>
      <c r="H17" s="58"/>
      <c r="I17" s="126">
        <f>SUM('[4]TW SUMMARY'!D20:F20)</f>
        <v>830.43100000000004</v>
      </c>
      <c r="J17" s="58"/>
      <c r="K17" s="126">
        <f t="shared" si="0"/>
        <v>-181.30600000000004</v>
      </c>
      <c r="L17" t="s">
        <v>201</v>
      </c>
    </row>
    <row r="18" spans="1:12">
      <c r="A18" s="127" t="s">
        <v>157</v>
      </c>
      <c r="B18" s="58"/>
      <c r="C18" s="144">
        <f>SUM('[5]TW SUMMARY'!$D$21:$F$23)</f>
        <v>-361</v>
      </c>
      <c r="D18" s="144"/>
      <c r="E18" s="130">
        <f>SUM('[6]TW SUMMARY'!D21:F22)</f>
        <v>20.943999999999999</v>
      </c>
      <c r="F18" s="58"/>
      <c r="G18" s="130">
        <f>SUM('[3]TW SUMMARY'!$D$21:$F$23)</f>
        <v>20.943999999999999</v>
      </c>
      <c r="H18" s="58"/>
      <c r="I18" s="130">
        <f>SUM('[4]TW SUMMARY'!$D$21:$F$23)</f>
        <v>-50</v>
      </c>
      <c r="J18" s="58"/>
      <c r="K18" s="130">
        <f t="shared" si="0"/>
        <v>70.944000000000003</v>
      </c>
    </row>
    <row r="19" spans="1:12">
      <c r="A19" s="110" t="s">
        <v>158</v>
      </c>
      <c r="B19" s="110"/>
      <c r="C19" s="131">
        <f>SUM(C8:C18)</f>
        <v>6281.0939999999991</v>
      </c>
      <c r="D19" s="131"/>
      <c r="E19" s="131">
        <f>SUM(E8:E18)</f>
        <v>7326.1003333333329</v>
      </c>
      <c r="F19" s="133"/>
      <c r="G19" s="131">
        <f>SUM(G8:G18)</f>
        <v>6694.8236666666662</v>
      </c>
      <c r="H19" s="134"/>
      <c r="I19" s="131">
        <f>SUM(I8:I18)</f>
        <v>7473.8320000000003</v>
      </c>
      <c r="J19" s="58"/>
      <c r="K19" s="132">
        <f t="shared" si="0"/>
        <v>-779.00833333333412</v>
      </c>
    </row>
    <row r="20" spans="1:1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1:12">
      <c r="A21" s="125" t="s">
        <v>159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1:12">
      <c r="A22" s="58" t="s">
        <v>160</v>
      </c>
      <c r="B22" s="58"/>
      <c r="C22" s="126">
        <f>SUM('[5]TW SUMMARY'!D27:F27)</f>
        <v>343.291</v>
      </c>
      <c r="D22" s="126"/>
      <c r="E22" s="126">
        <f>SUM('[6]TW SUMMARY'!D27:F27)</f>
        <v>290.89299999999997</v>
      </c>
      <c r="F22" s="58"/>
      <c r="G22" s="126">
        <f>SUM('[3]TW SUMMARY'!D27:F27)</f>
        <v>91.114333333333335</v>
      </c>
      <c r="H22" s="58"/>
      <c r="I22" s="126">
        <f>SUM('[4]TW SUMMARY'!D27:F27)</f>
        <v>373.00799999999998</v>
      </c>
      <c r="J22" s="58"/>
      <c r="K22" s="126">
        <f t="shared" ref="K22:K28" si="1">G22-I22</f>
        <v>-281.89366666666666</v>
      </c>
      <c r="L22" s="26" t="s">
        <v>202</v>
      </c>
    </row>
    <row r="23" spans="1:12">
      <c r="A23" s="58" t="s">
        <v>162</v>
      </c>
      <c r="B23" s="58"/>
      <c r="C23" s="126">
        <f>SUM('[5]TW SUMMARY'!D28:F28)</f>
        <v>319.60500000000002</v>
      </c>
      <c r="D23" s="126"/>
      <c r="E23" s="126">
        <f>SUM('[6]TW SUMMARY'!D28:F28)</f>
        <v>289.89733333333334</v>
      </c>
      <c r="F23" s="58"/>
      <c r="G23" s="126">
        <f>SUM('[3]TW SUMMARY'!D28:F28)</f>
        <v>290.16191666666668</v>
      </c>
      <c r="H23" s="58"/>
      <c r="I23" s="126">
        <f>SUM('[4]TW SUMMARY'!D28:F28)</f>
        <v>321.91699999999997</v>
      </c>
      <c r="J23" s="58"/>
      <c r="K23" s="126">
        <f t="shared" si="1"/>
        <v>-31.755083333333289</v>
      </c>
      <c r="L23" t="s">
        <v>163</v>
      </c>
    </row>
    <row r="24" spans="1:12">
      <c r="A24" s="58" t="s">
        <v>164</v>
      </c>
      <c r="B24" s="58"/>
      <c r="C24" s="126">
        <f>SUM('[5]TW SUMMARY'!D29:F29)</f>
        <v>172.03299999999999</v>
      </c>
      <c r="D24" s="126"/>
      <c r="E24" s="126">
        <f>SUM('[6]TW SUMMARY'!D29:F29)</f>
        <v>405.98</v>
      </c>
      <c r="F24" s="58"/>
      <c r="G24" s="126">
        <f>SUM('[3]TW SUMMARY'!D29:F29)</f>
        <v>405.464</v>
      </c>
      <c r="H24" s="58"/>
      <c r="I24" s="126">
        <f>SUM('[4]TW SUMMARY'!D29:F29)</f>
        <v>405.65</v>
      </c>
      <c r="J24" s="58"/>
      <c r="K24" s="126">
        <f t="shared" si="1"/>
        <v>-0.18599999999997863</v>
      </c>
    </row>
    <row r="25" spans="1:12">
      <c r="A25" s="58" t="s">
        <v>165</v>
      </c>
      <c r="B25" s="58"/>
      <c r="C25" s="126">
        <f>SUM('[5]TW SUMMARY'!D30:F30)</f>
        <v>90.105999999999995</v>
      </c>
      <c r="D25" s="126"/>
      <c r="E25" s="126">
        <f>SUM('[6]TW SUMMARY'!D30:F30)</f>
        <v>85.019749999999988</v>
      </c>
      <c r="F25" s="58"/>
      <c r="G25" s="126">
        <f>SUM('[3]TW SUMMARY'!D30:F30)</f>
        <v>85.557500000000005</v>
      </c>
      <c r="H25" s="58"/>
      <c r="I25" s="126">
        <f>SUM('[4]TW SUMMARY'!D30:F30)</f>
        <v>100.06975</v>
      </c>
      <c r="J25" s="58"/>
      <c r="K25" s="126">
        <f t="shared" si="1"/>
        <v>-14.512249999999995</v>
      </c>
      <c r="L25" t="s">
        <v>163</v>
      </c>
    </row>
    <row r="26" spans="1:12">
      <c r="A26" s="127" t="s">
        <v>167</v>
      </c>
      <c r="B26" s="58"/>
      <c r="C26" s="126">
        <f>SUM('[5]TW SUMMARY'!D31:F31)</f>
        <v>205.60300000000001</v>
      </c>
      <c r="D26" s="126"/>
      <c r="E26" s="126">
        <f>SUM('[6]TW SUMMARY'!D31:F31)</f>
        <v>358.1488333333333</v>
      </c>
      <c r="F26" s="58"/>
      <c r="G26" s="126">
        <f>SUM('[3]TW SUMMARY'!D31:F31)</f>
        <v>415.63308333333327</v>
      </c>
      <c r="H26" s="58"/>
      <c r="I26" s="126">
        <f>SUM('[4]TW SUMMARY'!D31:F31)</f>
        <v>197.88425000000001</v>
      </c>
      <c r="J26" s="58"/>
      <c r="K26" s="126">
        <f t="shared" si="1"/>
        <v>217.74883333333327</v>
      </c>
      <c r="L26" s="26" t="s">
        <v>203</v>
      </c>
    </row>
    <row r="27" spans="1:12">
      <c r="A27" s="58" t="s">
        <v>169</v>
      </c>
      <c r="B27" s="58"/>
      <c r="C27" s="130">
        <f>SUM('[5]TW SUMMARY'!$D$32:$F$34)</f>
        <v>84</v>
      </c>
      <c r="D27" s="130"/>
      <c r="E27" s="130">
        <f>SUM('[6]TW SUMMARY'!D32:F32)</f>
        <v>0</v>
      </c>
      <c r="F27" s="58"/>
      <c r="G27" s="130">
        <f>SUM('[3]TW SUMMARY'!$D$32:$F$34)</f>
        <v>0</v>
      </c>
      <c r="H27" s="58"/>
      <c r="I27" s="130">
        <f>SUM('[4]TW SUMMARY'!$D$32:$F$34)</f>
        <v>0</v>
      </c>
      <c r="J27" s="58"/>
      <c r="K27" s="130">
        <f t="shared" si="1"/>
        <v>0</v>
      </c>
    </row>
    <row r="28" spans="1:12">
      <c r="A28" s="110" t="s">
        <v>170</v>
      </c>
      <c r="B28" s="110"/>
      <c r="C28" s="131">
        <f>SUM(C22:C27)</f>
        <v>1214.6379999999999</v>
      </c>
      <c r="D28" s="131"/>
      <c r="E28" s="131">
        <f>SUM(E22:E27)</f>
        <v>1429.9389166666665</v>
      </c>
      <c r="F28" s="133"/>
      <c r="G28" s="131">
        <f>SUM(G22:G27)</f>
        <v>1287.9308333333333</v>
      </c>
      <c r="H28" s="134"/>
      <c r="I28" s="131">
        <f>SUM(I22:I27)</f>
        <v>1398.529</v>
      </c>
      <c r="J28" s="134"/>
      <c r="K28" s="131">
        <f t="shared" si="1"/>
        <v>-110.59816666666666</v>
      </c>
    </row>
    <row r="29" spans="1:1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</row>
    <row r="30" spans="1:12">
      <c r="A30" s="125" t="s">
        <v>171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12">
      <c r="A31" s="58" t="s">
        <v>172</v>
      </c>
      <c r="B31" s="58"/>
      <c r="C31" s="126">
        <f>SUM('[5]TW SUMMARY'!D38:F38)</f>
        <v>559.61666666669976</v>
      </c>
      <c r="D31" s="126"/>
      <c r="E31" s="126">
        <f>SUM('[6]TW SUMMARY'!D38:F38)</f>
        <v>476.10000000000014</v>
      </c>
      <c r="F31" s="58"/>
      <c r="G31" s="126">
        <f>SUM('[3]TW SUMMARY'!D38:F38)</f>
        <v>476.10000000000014</v>
      </c>
      <c r="H31" s="58"/>
      <c r="I31" s="126">
        <f>SUM('[4]TW SUMMARY'!D38:F38)</f>
        <v>476.10000000000014</v>
      </c>
      <c r="J31" s="58"/>
      <c r="K31" s="126">
        <f t="shared" ref="K31:K40" si="2">G31-I31</f>
        <v>0</v>
      </c>
    </row>
    <row r="32" spans="1:12">
      <c r="A32" s="58" t="s">
        <v>173</v>
      </c>
      <c r="B32" s="58"/>
      <c r="C32" s="126">
        <f>SUM('[5]TW SUMMARY'!D39:F39)-C33</f>
        <v>23.600000000000023</v>
      </c>
      <c r="D32" s="126"/>
      <c r="E32" s="126">
        <f>SUM('[6]TW SUMMARY'!D39:F39)</f>
        <v>3.9339999999999691</v>
      </c>
      <c r="F32" s="58"/>
      <c r="G32" s="126">
        <f>SUM('[3]TW SUMMARY'!D39:F39)</f>
        <v>27.285000000000025</v>
      </c>
      <c r="H32" s="58"/>
      <c r="I32" s="126">
        <f>SUM('[4]TW SUMMARY'!D39:F39)</f>
        <v>27.250000000000028</v>
      </c>
      <c r="J32" s="58"/>
      <c r="K32" s="126">
        <f t="shared" si="2"/>
        <v>3.4999999999996589E-2</v>
      </c>
      <c r="L32" s="26"/>
    </row>
    <row r="33" spans="1:12">
      <c r="A33" s="58" t="s">
        <v>175</v>
      </c>
      <c r="B33" s="58"/>
      <c r="C33" s="126">
        <f>SUM([5]TWMMF!$D$67:$F$67)</f>
        <v>249.60000000000002</v>
      </c>
      <c r="D33" s="126"/>
      <c r="E33" s="126">
        <f>SUM('[6]TW SUMMARY'!D40:F40)</f>
        <v>448.04999999999995</v>
      </c>
      <c r="F33" s="58"/>
      <c r="G33" s="126">
        <f>SUM('[3]TW SUMMARY'!D40:F40)</f>
        <v>447.83299999999997</v>
      </c>
      <c r="H33" s="58"/>
      <c r="I33" s="126">
        <f>SUM('[4]TW SUMMARY'!D40:F40)</f>
        <v>448.04999999999995</v>
      </c>
      <c r="J33" s="58"/>
      <c r="K33" s="126">
        <f t="shared" si="2"/>
        <v>-0.21699999999998454</v>
      </c>
    </row>
    <row r="34" spans="1:12">
      <c r="A34" s="127" t="s">
        <v>176</v>
      </c>
      <c r="B34" s="58"/>
      <c r="C34" s="126">
        <f>SUM('[5]TW SUMMARY'!D40:F40)</f>
        <v>24.299999999999997</v>
      </c>
      <c r="D34" s="126"/>
      <c r="E34" s="126">
        <f>SUM('[6]TW SUMMARY'!D41:F41)</f>
        <v>20</v>
      </c>
      <c r="F34" s="58"/>
      <c r="G34" s="126">
        <f>SUM('[3]TW SUMMARY'!D41:F41)</f>
        <v>20</v>
      </c>
      <c r="H34" s="58"/>
      <c r="I34" s="126">
        <f>SUM('[4]TW SUMMARY'!D41:F41)</f>
        <v>20</v>
      </c>
      <c r="J34" s="58"/>
      <c r="K34" s="126">
        <f t="shared" si="2"/>
        <v>0</v>
      </c>
    </row>
    <row r="35" spans="1:12">
      <c r="A35" s="129" t="s">
        <v>177</v>
      </c>
      <c r="B35" s="58"/>
      <c r="C35" s="128">
        <f>SUM('[5]TW SUMMARY'!D41:F41)+SUM('[5]TW SUMMARY'!$D$46:$F$46)+244</f>
        <v>366.39433333333335</v>
      </c>
      <c r="D35" s="128"/>
      <c r="E35" s="126">
        <f>SUM('[6]TW SUMMARY'!D42:F42)</f>
        <v>455.11766666666665</v>
      </c>
      <c r="F35" s="58"/>
      <c r="G35" s="126">
        <f>SUM('[3]TW SUMMARY'!D42:F42)</f>
        <v>655.49666666666667</v>
      </c>
      <c r="H35" s="58"/>
      <c r="I35" s="126">
        <f>SUM('[4]TW SUMMARY'!D42:F42)</f>
        <v>462.34500000000003</v>
      </c>
      <c r="J35" s="58"/>
      <c r="K35" s="126">
        <f t="shared" si="2"/>
        <v>193.15166666666664</v>
      </c>
      <c r="L35" s="26" t="s">
        <v>204</v>
      </c>
    </row>
    <row r="36" spans="1:12">
      <c r="A36" s="129" t="s">
        <v>179</v>
      </c>
      <c r="B36" s="58"/>
      <c r="C36" s="126">
        <f>SUM('[5]TW SUMMARY'!D42:F42)</f>
        <v>0</v>
      </c>
      <c r="D36" s="126"/>
      <c r="E36" s="126">
        <f>SUM('[6]TW SUMMARY'!D43:F43)</f>
        <v>104.25033333333332</v>
      </c>
      <c r="F36" s="58"/>
      <c r="G36" s="126">
        <f>SUM('[3]TW SUMMARY'!D43:F43)</f>
        <v>104.47066666666666</v>
      </c>
      <c r="H36" s="58"/>
      <c r="I36" s="126">
        <f>SUM('[4]TW SUMMARY'!D43:F43)</f>
        <v>104</v>
      </c>
      <c r="J36" s="58"/>
      <c r="K36" s="126">
        <f t="shared" si="2"/>
        <v>0.47066666666665924</v>
      </c>
    </row>
    <row r="37" spans="1:12">
      <c r="A37" s="129" t="s">
        <v>180</v>
      </c>
      <c r="B37" s="58"/>
      <c r="C37" s="126">
        <f>SUM('[5]TW SUMMARY'!D43:F43)</f>
        <v>25.701999999999998</v>
      </c>
      <c r="D37" s="126"/>
      <c r="E37" s="126">
        <f>SUM('[6]TW SUMMARY'!D44:F44)</f>
        <v>45.220666666666666</v>
      </c>
      <c r="F37" s="58"/>
      <c r="G37" s="126">
        <f>SUM('[3]TW SUMMARY'!D44:F44)</f>
        <v>46.020666666666664</v>
      </c>
      <c r="H37" s="58"/>
      <c r="I37" s="126">
        <f>SUM('[4]TW SUMMARY'!D44:F44)</f>
        <v>45.475000000000001</v>
      </c>
      <c r="J37" s="58"/>
      <c r="K37" s="126">
        <f t="shared" si="2"/>
        <v>0.54566666666666208</v>
      </c>
    </row>
    <row r="38" spans="1:12">
      <c r="A38" s="129" t="s">
        <v>182</v>
      </c>
      <c r="B38" s="58"/>
      <c r="C38" s="128">
        <f>SUM('[5]TW SUMMARY'!D44:F44)+21</f>
        <v>125.90899999999999</v>
      </c>
      <c r="D38" s="128"/>
      <c r="E38" s="126">
        <f>SUM('[6]TW SUMMARY'!D45:F45)</f>
        <v>125.55133333333333</v>
      </c>
      <c r="F38" s="58"/>
      <c r="G38" s="126">
        <f>SUM('[3]TW SUMMARY'!D45:F45)</f>
        <v>121.23</v>
      </c>
      <c r="H38" s="58"/>
      <c r="I38" s="126">
        <f>SUM('[4]TW SUMMARY'!D45:F45)</f>
        <v>121.301</v>
      </c>
      <c r="J38" s="58"/>
      <c r="K38" s="126">
        <f t="shared" si="2"/>
        <v>-7.0999999999997954E-2</v>
      </c>
    </row>
    <row r="39" spans="1:12">
      <c r="A39" s="129" t="s">
        <v>184</v>
      </c>
      <c r="B39" s="58"/>
      <c r="C39" s="126">
        <f>SUM('[5]TW SUMMARY'!D45:F45)</f>
        <v>77.400000000000006</v>
      </c>
      <c r="D39" s="126"/>
      <c r="E39" s="126">
        <f>SUM('[6]TW SUMMARY'!D46:F46)</f>
        <v>25.058000000000007</v>
      </c>
      <c r="F39" s="58"/>
      <c r="G39" s="126">
        <f>SUM('[3]TW SUMMARY'!D46:F46)</f>
        <v>25.030000000000008</v>
      </c>
      <c r="H39" s="58"/>
      <c r="I39" s="126">
        <f>SUM('[4]TW SUMMARY'!D46:F46)</f>
        <v>68.25</v>
      </c>
      <c r="J39" s="58"/>
      <c r="K39" s="126">
        <f t="shared" si="2"/>
        <v>-43.219999999999992</v>
      </c>
      <c r="L39" s="26" t="s">
        <v>185</v>
      </c>
    </row>
    <row r="40" spans="1:12">
      <c r="A40" s="127" t="s">
        <v>169</v>
      </c>
      <c r="B40" s="58"/>
      <c r="C40" s="145">
        <f>SUM('[5]TW SUMMARY'!$D$47:$F$47)-244-21</f>
        <v>260</v>
      </c>
      <c r="D40" s="145"/>
      <c r="E40" s="130">
        <f>SUM('[6]TW SUMMARY'!D47:F47)</f>
        <v>0</v>
      </c>
      <c r="F40" s="58"/>
      <c r="G40" s="144">
        <f>SUM('[3]TW SUMMARY'!$D$47:$F$48)</f>
        <v>0</v>
      </c>
      <c r="H40" s="58"/>
      <c r="I40" s="144">
        <f>SUM('[4]TW SUMMARY'!$D$47:$F$48)</f>
        <v>0</v>
      </c>
      <c r="J40" s="58"/>
      <c r="K40" s="130">
        <f t="shared" si="2"/>
        <v>0</v>
      </c>
    </row>
    <row r="41" spans="1:1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126"/>
    </row>
    <row r="42" spans="1:12">
      <c r="A42" s="110" t="s">
        <v>186</v>
      </c>
      <c r="B42" s="110"/>
      <c r="C42" s="131">
        <f>SUM(C31:C41)</f>
        <v>1712.5220000000331</v>
      </c>
      <c r="D42" s="131"/>
      <c r="E42" s="131">
        <f>SUM(E31:E41)</f>
        <v>1703.2820000000002</v>
      </c>
      <c r="F42" s="133"/>
      <c r="G42" s="131">
        <f>SUM(G31:G41)</f>
        <v>1923.4659999999999</v>
      </c>
      <c r="H42" s="134"/>
      <c r="I42" s="131">
        <f>SUM(I31:I41)</f>
        <v>1772.771</v>
      </c>
      <c r="J42" s="134"/>
      <c r="K42" s="131">
        <f>G42-I42</f>
        <v>150.69499999999994</v>
      </c>
    </row>
    <row r="43" spans="1:12">
      <c r="A43" s="58"/>
      <c r="B43" s="58"/>
      <c r="C43" s="134"/>
      <c r="D43" s="134"/>
      <c r="E43" s="134"/>
      <c r="F43" s="134"/>
      <c r="G43" s="134"/>
      <c r="H43" s="134"/>
      <c r="I43" s="134"/>
      <c r="J43" s="134"/>
      <c r="K43" s="131"/>
    </row>
    <row r="44" spans="1:12" ht="13.8" thickBot="1">
      <c r="A44" s="137" t="s">
        <v>187</v>
      </c>
      <c r="B44" s="138"/>
      <c r="C44" s="139">
        <f>C19+C28+C42</f>
        <v>9208.2540000000317</v>
      </c>
      <c r="D44" s="140"/>
      <c r="E44" s="139">
        <f>E19+E28+E42</f>
        <v>10459.321250000001</v>
      </c>
      <c r="F44" s="133"/>
      <c r="G44" s="139">
        <f>G19+G28+G42</f>
        <v>9906.2204999999994</v>
      </c>
      <c r="H44" s="134"/>
      <c r="I44" s="139">
        <f>I19+I28+I42</f>
        <v>10645.132000000001</v>
      </c>
      <c r="J44" s="134"/>
      <c r="K44" s="139">
        <f>G44-I44</f>
        <v>-738.91150000000198</v>
      </c>
    </row>
    <row r="45" spans="1:12" ht="13.8" thickTop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</row>
    <row r="46" spans="1:12">
      <c r="A46" s="146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</sheetData>
  <mergeCells count="1">
    <mergeCell ref="G4:K4"/>
  </mergeCells>
  <printOptions horizontalCentered="1"/>
  <pageMargins left="0.25" right="0.25" top="0.25" bottom="0.25" header="0.5" footer="0.5"/>
  <pageSetup scale="85" orientation="landscape" r:id="rId1"/>
  <headerFooter alignWithMargins="0">
    <oddFooter>&amp;RPage 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Cover</vt:lpstr>
      <vt:lpstr>Graph</vt:lpstr>
      <vt:lpstr>NNG-Income-Sum</vt:lpstr>
      <vt:lpstr>NNG-VARIANCE</vt:lpstr>
      <vt:lpstr>TW-Income-Sum</vt:lpstr>
      <vt:lpstr>TW-VARIANCE</vt:lpstr>
      <vt:lpstr>ET&amp;S-O&amp;M</vt:lpstr>
      <vt:lpstr>NNG-O&amp;M</vt:lpstr>
      <vt:lpstr>TW-O&amp;M</vt:lpstr>
      <vt:lpstr>updown</vt:lpstr>
      <vt:lpstr>Cover!Print_Area</vt:lpstr>
      <vt:lpstr>'ET&amp;S-O&amp;M'!Print_Area</vt:lpstr>
      <vt:lpstr>Graph!Print_Area</vt:lpstr>
      <vt:lpstr>'NNG-Income-Sum'!Print_Area</vt:lpstr>
      <vt:lpstr>'NNG-O&amp;M'!Print_Area</vt:lpstr>
      <vt:lpstr>'TW-Income-Sum'!Print_Area</vt:lpstr>
      <vt:lpstr>'TW-O&amp;M'!Print_Area</vt:lpstr>
      <vt:lpstr>updown!Print_Area</vt:lpstr>
      <vt:lpstr>'NNG-Income-Sum'!Print_Titles</vt:lpstr>
      <vt:lpstr>'TW-Income-Sum'!Print_Titles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Havlíček Jan</cp:lastModifiedBy>
  <cp:lastPrinted>2000-03-09T22:30:04Z</cp:lastPrinted>
  <dcterms:created xsi:type="dcterms:W3CDTF">2000-03-09T22:08:38Z</dcterms:created>
  <dcterms:modified xsi:type="dcterms:W3CDTF">2023-09-10T11:37:41Z</dcterms:modified>
</cp:coreProperties>
</file>