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216" windowWidth="11100" windowHeight="6348" tabRatio="601" activeTab="1"/>
  </bookViews>
  <sheets>
    <sheet name="Input Sheet" sheetId="1" r:id="rId1"/>
    <sheet name="Model" sheetId="2" r:id="rId2"/>
    <sheet name="Summary" sheetId="3" r:id="rId3"/>
  </sheets>
  <definedNames>
    <definedName name="_xlnm.Print_Area" localSheetId="1">Model!$A$2:$Y$71</definedName>
    <definedName name="_xlnm.Print_Area" localSheetId="2">Summary!$A$1:$J$99</definedName>
    <definedName name="_xlnm.Print_Titles" localSheetId="2">Summary!$1:$11</definedName>
    <definedName name="solver_adj" localSheetId="0" hidden="1">'Input Sheet'!$C$7</definedName>
    <definedName name="solver_adj" localSheetId="1" hidden="1">Model!$B$19</definedName>
    <definedName name="solver_cvg" localSheetId="0" hidden="1">0.001</definedName>
    <definedName name="solver_cvg" localSheetId="1" hidden="1">0.001</definedName>
    <definedName name="solver_drv" localSheetId="0" hidden="1">1</definedName>
    <definedName name="solver_drv" localSheetId="1" hidden="1">1</definedName>
    <definedName name="solver_est" localSheetId="0" hidden="1">1</definedName>
    <definedName name="solver_est" localSheetId="1" hidden="1">1</definedName>
    <definedName name="solver_itr" localSheetId="0" hidden="1">100</definedName>
    <definedName name="solver_itr" localSheetId="1" hidden="1">100</definedName>
    <definedName name="solver_lin" localSheetId="0" hidden="1">2</definedName>
    <definedName name="solver_lin" localSheetId="1" hidden="1">2</definedName>
    <definedName name="solver_neg" localSheetId="0" hidden="1">2</definedName>
    <definedName name="solver_neg" localSheetId="1" hidden="1">2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'Input Sheet'!$C$12</definedName>
    <definedName name="solver_opt" localSheetId="1" hidden="1">Model!$B$9</definedName>
    <definedName name="solver_pre" localSheetId="0" hidden="1">0.000001</definedName>
    <definedName name="solver_pre" localSheetId="1" hidden="1">0.000001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tim" localSheetId="0" hidden="1">100</definedName>
    <definedName name="solver_tim" localSheetId="1" hidden="1">100</definedName>
    <definedName name="solver_tol" localSheetId="0" hidden="1">0.05</definedName>
    <definedName name="solver_tol" localSheetId="1" hidden="1">0.05</definedName>
    <definedName name="solver_typ" localSheetId="0" hidden="1">3</definedName>
    <definedName name="solver_typ" localSheetId="1" hidden="1">3</definedName>
    <definedName name="solver_val" localSheetId="0" hidden="1">0.15</definedName>
    <definedName name="solver_val" localSheetId="1" hidden="1">0.15</definedName>
  </definedNames>
  <calcPr calcId="0" fullCalcOnLoad="1"/>
</workbook>
</file>

<file path=xl/calcChain.xml><?xml version="1.0" encoding="utf-8"?>
<calcChain xmlns="http://schemas.openxmlformats.org/spreadsheetml/2006/main">
  <c r="D5" i="1" l="1"/>
  <c r="C6" i="1"/>
  <c r="C8" i="1"/>
  <c r="C9" i="1"/>
  <c r="C12" i="1"/>
  <c r="C13" i="1"/>
  <c r="C16" i="1"/>
  <c r="C17" i="1"/>
  <c r="C21" i="1"/>
  <c r="D21" i="1"/>
  <c r="C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C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G49" i="1"/>
  <c r="G50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G57" i="1"/>
  <c r="G58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G65" i="1"/>
  <c r="G66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E79" i="1"/>
  <c r="L79" i="1"/>
  <c r="E80" i="1"/>
  <c r="L80" i="1"/>
  <c r="E81" i="1"/>
  <c r="L81" i="1"/>
  <c r="E82" i="1"/>
  <c r="L82" i="1"/>
  <c r="E83" i="1"/>
  <c r="L83" i="1"/>
  <c r="E84" i="1"/>
  <c r="L84" i="1"/>
  <c r="E85" i="1"/>
  <c r="L85" i="1"/>
  <c r="E86" i="1"/>
  <c r="L86" i="1"/>
  <c r="E87" i="1"/>
  <c r="L87" i="1"/>
  <c r="E90" i="1"/>
  <c r="L90" i="1"/>
  <c r="E91" i="1"/>
  <c r="L91" i="1"/>
  <c r="E92" i="1"/>
  <c r="L92" i="1"/>
  <c r="E93" i="1"/>
  <c r="L93" i="1"/>
  <c r="E94" i="1"/>
  <c r="L94" i="1"/>
  <c r="E95" i="1"/>
  <c r="L95" i="1"/>
  <c r="E96" i="1"/>
  <c r="L96" i="1"/>
  <c r="E97" i="1"/>
  <c r="L97" i="1"/>
  <c r="E98" i="1"/>
  <c r="L98" i="1"/>
  <c r="E101" i="1"/>
  <c r="L101" i="1"/>
  <c r="E102" i="1"/>
  <c r="L102" i="1"/>
  <c r="E103" i="1"/>
  <c r="L103" i="1"/>
  <c r="E104" i="1"/>
  <c r="L104" i="1"/>
  <c r="E105" i="1"/>
  <c r="L105" i="1"/>
  <c r="E106" i="1"/>
  <c r="L106" i="1"/>
  <c r="E107" i="1"/>
  <c r="L107" i="1"/>
  <c r="E108" i="1"/>
  <c r="L108" i="1"/>
  <c r="E109" i="1"/>
  <c r="L109" i="1"/>
  <c r="E112" i="1"/>
  <c r="L112" i="1"/>
  <c r="E113" i="1"/>
  <c r="L113" i="1"/>
  <c r="E114" i="1"/>
  <c r="L114" i="1"/>
  <c r="E115" i="1"/>
  <c r="L115" i="1"/>
  <c r="E116" i="1"/>
  <c r="L116" i="1"/>
  <c r="E117" i="1"/>
  <c r="L117" i="1"/>
  <c r="E118" i="1"/>
  <c r="L118" i="1"/>
  <c r="E119" i="1"/>
  <c r="L119" i="1"/>
  <c r="E120" i="1"/>
  <c r="L120" i="1"/>
  <c r="E123" i="1"/>
  <c r="L123" i="1"/>
  <c r="E124" i="1"/>
  <c r="L124" i="1"/>
  <c r="E125" i="1"/>
  <c r="L125" i="1"/>
  <c r="E126" i="1"/>
  <c r="L126" i="1"/>
  <c r="E127" i="1"/>
  <c r="L127" i="1"/>
  <c r="E128" i="1"/>
  <c r="L128" i="1"/>
  <c r="E129" i="1"/>
  <c r="L129" i="1"/>
  <c r="E130" i="1"/>
  <c r="L130" i="1"/>
  <c r="E131" i="1"/>
  <c r="L131" i="1"/>
  <c r="A2" i="2"/>
  <c r="B3" i="2"/>
  <c r="B6" i="2"/>
  <c r="C6" i="2"/>
  <c r="D6" i="2"/>
  <c r="E6" i="2"/>
  <c r="F6" i="2"/>
  <c r="G6" i="2"/>
  <c r="H6" i="2"/>
  <c r="B7" i="2"/>
  <c r="C7" i="2"/>
  <c r="D7" i="2"/>
  <c r="E7" i="2"/>
  <c r="F7" i="2"/>
  <c r="G7" i="2"/>
  <c r="H7" i="2"/>
  <c r="B9" i="2"/>
  <c r="B13" i="2"/>
  <c r="C13" i="2"/>
  <c r="D13" i="2"/>
  <c r="E13" i="2"/>
  <c r="A14" i="2"/>
  <c r="D14" i="2"/>
  <c r="A15" i="2"/>
  <c r="D15" i="2"/>
  <c r="A16" i="2"/>
  <c r="D16" i="2"/>
  <c r="B19" i="2"/>
  <c r="A20" i="2"/>
  <c r="B20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Y25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Y26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Y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Y28" i="2"/>
  <c r="D29" i="2"/>
  <c r="E29" i="2"/>
  <c r="G29" i="2"/>
  <c r="H29" i="2"/>
  <c r="I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Y29" i="2"/>
  <c r="Y31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B49" i="2"/>
  <c r="D49" i="2"/>
  <c r="E49" i="2"/>
  <c r="F49" i="2"/>
  <c r="G49" i="2"/>
  <c r="H49" i="2"/>
  <c r="J49" i="2"/>
  <c r="K49" i="2"/>
  <c r="L49" i="2"/>
  <c r="N49" i="2"/>
  <c r="O49" i="2"/>
  <c r="P49" i="2"/>
  <c r="Q49" i="2"/>
  <c r="R49" i="2"/>
  <c r="S49" i="2"/>
  <c r="T49" i="2"/>
  <c r="U49" i="2"/>
  <c r="V49" i="2"/>
  <c r="W49" i="2"/>
  <c r="X49" i="2"/>
  <c r="Y49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D54" i="2"/>
  <c r="E54" i="2"/>
  <c r="F54" i="2"/>
  <c r="G54" i="2"/>
  <c r="H54" i="2"/>
  <c r="I54" i="2"/>
  <c r="J54" i="2"/>
  <c r="K54" i="2"/>
  <c r="X54" i="2"/>
  <c r="Y54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B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D65" i="2"/>
  <c r="E65" i="2"/>
  <c r="F65" i="2"/>
  <c r="G65" i="2"/>
  <c r="H65" i="2"/>
  <c r="I65" i="2"/>
  <c r="J65" i="2"/>
  <c r="X65" i="2"/>
  <c r="Y65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C67" i="2"/>
  <c r="A68" i="2"/>
  <c r="B68" i="2"/>
  <c r="C68" i="2"/>
  <c r="J68" i="2"/>
  <c r="W71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Y75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Y76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Y77" i="2"/>
  <c r="W78" i="2"/>
  <c r="Y82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Y83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Y84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Y85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Y86" i="2"/>
  <c r="Z86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Y88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Y89" i="2"/>
  <c r="B90" i="2"/>
  <c r="D90" i="2"/>
  <c r="E90" i="2"/>
  <c r="F90" i="2"/>
  <c r="G90" i="2"/>
  <c r="H90" i="2"/>
  <c r="I90" i="2"/>
  <c r="J90" i="2"/>
  <c r="Y90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Y91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Y93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Y94" i="2"/>
  <c r="D95" i="2"/>
  <c r="E95" i="2"/>
  <c r="F95" i="2"/>
  <c r="G95" i="2"/>
  <c r="H95" i="2"/>
  <c r="I95" i="2"/>
  <c r="J95" i="2"/>
  <c r="Y95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Y96" i="2"/>
  <c r="B99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Y100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Y101" i="2"/>
  <c r="D102" i="2"/>
  <c r="E102" i="2"/>
  <c r="F102" i="2"/>
  <c r="G102" i="2"/>
  <c r="H102" i="2"/>
  <c r="I102" i="2"/>
  <c r="J102" i="2"/>
  <c r="Y102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Y103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Y105" i="2"/>
  <c r="Z105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Y106" i="2"/>
  <c r="Z106" i="2"/>
  <c r="D107" i="2"/>
  <c r="E107" i="2"/>
  <c r="F107" i="2"/>
  <c r="G107" i="2"/>
  <c r="H107" i="2"/>
  <c r="I107" i="2"/>
  <c r="J107" i="2"/>
  <c r="Y107" i="2"/>
  <c r="Z107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Y108" i="2"/>
  <c r="A1" i="3"/>
  <c r="A3" i="3"/>
  <c r="B3" i="3"/>
  <c r="E5" i="3"/>
  <c r="E7" i="3"/>
  <c r="E9" i="3"/>
  <c r="B10" i="3"/>
  <c r="E10" i="3"/>
  <c r="E11" i="3"/>
  <c r="B13" i="3"/>
  <c r="B14" i="3"/>
  <c r="B17" i="3"/>
  <c r="B18" i="3"/>
  <c r="C20" i="3"/>
  <c r="C21" i="3"/>
  <c r="C24" i="3"/>
  <c r="C25" i="3"/>
  <c r="B28" i="3"/>
  <c r="D28" i="3"/>
  <c r="E28" i="3"/>
  <c r="F28" i="3"/>
  <c r="G28" i="3"/>
  <c r="H28" i="3"/>
  <c r="I28" i="3"/>
  <c r="J28" i="3"/>
  <c r="B29" i="3"/>
  <c r="D29" i="3"/>
  <c r="E29" i="3"/>
  <c r="F29" i="3"/>
  <c r="G29" i="3"/>
  <c r="H29" i="3"/>
  <c r="I29" i="3"/>
  <c r="J29" i="3"/>
  <c r="B30" i="3"/>
  <c r="E30" i="3"/>
  <c r="F30" i="3"/>
  <c r="G30" i="3"/>
  <c r="H30" i="3"/>
  <c r="I30" i="3"/>
  <c r="J30" i="3"/>
  <c r="B31" i="3"/>
  <c r="D31" i="3"/>
  <c r="E31" i="3"/>
  <c r="F31" i="3"/>
  <c r="G31" i="3"/>
  <c r="H31" i="3"/>
  <c r="I31" i="3"/>
  <c r="J31" i="3"/>
  <c r="B32" i="3"/>
  <c r="D32" i="3"/>
  <c r="E32" i="3"/>
  <c r="F32" i="3"/>
  <c r="G32" i="3"/>
  <c r="H32" i="3"/>
  <c r="I32" i="3"/>
  <c r="J32" i="3"/>
  <c r="B33" i="3"/>
  <c r="D33" i="3"/>
  <c r="E33" i="3"/>
  <c r="F33" i="3"/>
  <c r="G33" i="3"/>
  <c r="H33" i="3"/>
  <c r="I33" i="3"/>
  <c r="J33" i="3"/>
  <c r="B38" i="3"/>
  <c r="C38" i="3"/>
  <c r="B39" i="3"/>
  <c r="D39" i="3"/>
  <c r="E39" i="3"/>
  <c r="F39" i="3"/>
  <c r="G39" i="3"/>
  <c r="H39" i="3"/>
  <c r="I39" i="3"/>
  <c r="J39" i="3"/>
  <c r="B40" i="3"/>
  <c r="D40" i="3"/>
  <c r="E40" i="3"/>
  <c r="F40" i="3"/>
  <c r="G40" i="3"/>
  <c r="H40" i="3"/>
  <c r="I40" i="3"/>
  <c r="J40" i="3"/>
  <c r="B41" i="3"/>
  <c r="D41" i="3"/>
  <c r="E41" i="3"/>
  <c r="F41" i="3"/>
  <c r="G41" i="3"/>
  <c r="H41" i="3"/>
  <c r="I41" i="3"/>
  <c r="J41" i="3"/>
  <c r="B42" i="3"/>
  <c r="D42" i="3"/>
  <c r="E42" i="3"/>
  <c r="F42" i="3"/>
  <c r="G42" i="3"/>
  <c r="H42" i="3"/>
  <c r="I42" i="3"/>
  <c r="J42" i="3"/>
  <c r="B43" i="3"/>
  <c r="D43" i="3"/>
  <c r="E43" i="3"/>
  <c r="F43" i="3"/>
  <c r="G43" i="3"/>
  <c r="H43" i="3"/>
  <c r="I43" i="3"/>
  <c r="J43" i="3"/>
  <c r="B44" i="3"/>
  <c r="J44" i="3"/>
  <c r="B45" i="3"/>
  <c r="C45" i="3"/>
  <c r="D45" i="3"/>
  <c r="E45" i="3"/>
  <c r="F45" i="3"/>
  <c r="G45" i="3"/>
  <c r="H45" i="3"/>
  <c r="I45" i="3"/>
  <c r="J45" i="3"/>
  <c r="B47" i="3"/>
  <c r="B48" i="3"/>
  <c r="B55" i="3"/>
  <c r="D55" i="3"/>
  <c r="E55" i="3"/>
  <c r="F55" i="3"/>
  <c r="G55" i="3"/>
  <c r="H55" i="3"/>
  <c r="I55" i="3"/>
  <c r="J55" i="3"/>
  <c r="B56" i="3"/>
  <c r="B57" i="3"/>
  <c r="D57" i="3"/>
  <c r="E57" i="3"/>
  <c r="F57" i="3"/>
  <c r="G57" i="3"/>
  <c r="H57" i="3"/>
  <c r="I57" i="3"/>
  <c r="J57" i="3"/>
  <c r="B58" i="3"/>
  <c r="D58" i="3"/>
  <c r="E58" i="3"/>
  <c r="F58" i="3"/>
  <c r="G58" i="3"/>
  <c r="H58" i="3"/>
  <c r="I58" i="3"/>
  <c r="J58" i="3"/>
  <c r="B59" i="3"/>
  <c r="C59" i="3"/>
  <c r="D59" i="3"/>
  <c r="E59" i="3"/>
  <c r="F59" i="3"/>
  <c r="G59" i="3"/>
  <c r="H59" i="3"/>
  <c r="I59" i="3"/>
  <c r="J59" i="3"/>
  <c r="B62" i="3"/>
  <c r="C62" i="3"/>
  <c r="B63" i="3"/>
  <c r="B64" i="3"/>
  <c r="D64" i="3"/>
  <c r="E64" i="3"/>
  <c r="F64" i="3"/>
  <c r="G64" i="3"/>
  <c r="H64" i="3"/>
  <c r="I64" i="3"/>
  <c r="J64" i="3"/>
  <c r="B65" i="3"/>
  <c r="D65" i="3"/>
  <c r="E65" i="3"/>
  <c r="F65" i="3"/>
  <c r="G65" i="3"/>
  <c r="H65" i="3"/>
  <c r="I65" i="3"/>
  <c r="J65" i="3"/>
  <c r="B66" i="3"/>
  <c r="D66" i="3"/>
  <c r="E66" i="3"/>
  <c r="F66" i="3"/>
  <c r="G66" i="3"/>
  <c r="H66" i="3"/>
  <c r="I66" i="3"/>
  <c r="J66" i="3"/>
  <c r="B67" i="3"/>
  <c r="C67" i="3"/>
  <c r="D67" i="3"/>
  <c r="E67" i="3"/>
  <c r="F67" i="3"/>
  <c r="G67" i="3"/>
  <c r="H67" i="3"/>
  <c r="I67" i="3"/>
  <c r="J67" i="3"/>
  <c r="B68" i="3"/>
  <c r="J68" i="3"/>
  <c r="B69" i="3"/>
  <c r="C69" i="3"/>
  <c r="D69" i="3"/>
  <c r="E69" i="3"/>
  <c r="F69" i="3"/>
  <c r="G69" i="3"/>
  <c r="H69" i="3"/>
  <c r="I69" i="3"/>
  <c r="J69" i="3"/>
  <c r="B73" i="3"/>
  <c r="C73" i="3"/>
  <c r="B75" i="3"/>
  <c r="D75" i="3"/>
  <c r="E75" i="3"/>
  <c r="F75" i="3"/>
  <c r="G75" i="3"/>
  <c r="H75" i="3"/>
  <c r="I75" i="3"/>
  <c r="J75" i="3"/>
  <c r="B78" i="3"/>
  <c r="E78" i="3"/>
  <c r="F78" i="3"/>
  <c r="G78" i="3"/>
  <c r="H78" i="3"/>
  <c r="I78" i="3"/>
  <c r="J78" i="3"/>
  <c r="B79" i="3"/>
  <c r="E79" i="3"/>
  <c r="F79" i="3"/>
  <c r="G79" i="3"/>
  <c r="H79" i="3"/>
  <c r="I79" i="3"/>
  <c r="J79" i="3"/>
  <c r="B80" i="3"/>
  <c r="E80" i="3"/>
  <c r="F80" i="3"/>
  <c r="G80" i="3"/>
  <c r="H80" i="3"/>
  <c r="I80" i="3"/>
  <c r="J80" i="3"/>
  <c r="B81" i="3"/>
  <c r="C81" i="3"/>
  <c r="D81" i="3"/>
  <c r="E81" i="3"/>
  <c r="F81" i="3"/>
  <c r="G81" i="3"/>
  <c r="H81" i="3"/>
  <c r="I81" i="3"/>
  <c r="J81" i="3"/>
  <c r="B83" i="3"/>
  <c r="C83" i="3"/>
  <c r="D83" i="3"/>
  <c r="E83" i="3"/>
  <c r="F83" i="3"/>
  <c r="G83" i="3"/>
  <c r="H83" i="3"/>
  <c r="I83" i="3"/>
  <c r="J83" i="3"/>
  <c r="B85" i="3"/>
  <c r="D85" i="3"/>
  <c r="E85" i="3"/>
  <c r="F85" i="3"/>
  <c r="G85" i="3"/>
  <c r="H85" i="3"/>
  <c r="I85" i="3"/>
  <c r="J85" i="3"/>
  <c r="B87" i="3"/>
  <c r="C87" i="3"/>
  <c r="D87" i="3"/>
  <c r="E87" i="3"/>
  <c r="F87" i="3"/>
  <c r="G87" i="3"/>
  <c r="H87" i="3"/>
  <c r="I87" i="3"/>
  <c r="J87" i="3"/>
  <c r="E91" i="3"/>
  <c r="F91" i="3"/>
  <c r="G91" i="3"/>
  <c r="H91" i="3"/>
  <c r="I91" i="3"/>
  <c r="J91" i="3"/>
  <c r="D92" i="3"/>
  <c r="E92" i="3"/>
  <c r="F92" i="3"/>
  <c r="G92" i="3"/>
  <c r="H92" i="3"/>
  <c r="I92" i="3"/>
  <c r="J92" i="3"/>
  <c r="D94" i="3"/>
  <c r="E94" i="3"/>
  <c r="F94" i="3"/>
  <c r="G94" i="3"/>
  <c r="H94" i="3"/>
  <c r="I94" i="3"/>
  <c r="J94" i="3"/>
  <c r="D96" i="3"/>
  <c r="E96" i="3"/>
  <c r="F96" i="3"/>
  <c r="G96" i="3"/>
  <c r="H96" i="3"/>
  <c r="I96" i="3"/>
  <c r="J96" i="3"/>
  <c r="B98" i="3"/>
  <c r="B102" i="3"/>
</calcChain>
</file>

<file path=xl/sharedStrings.xml><?xml version="1.0" encoding="utf-8"?>
<sst xmlns="http://schemas.openxmlformats.org/spreadsheetml/2006/main" count="449" uniqueCount="265">
  <si>
    <t>Construction Cost</t>
  </si>
  <si>
    <t>Estimate Level</t>
  </si>
  <si>
    <t>Demand Rate</t>
  </si>
  <si>
    <t>Load Factor</t>
  </si>
  <si>
    <t>PROJECT:</t>
  </si>
  <si>
    <t>YEAR 2000</t>
  </si>
  <si>
    <t>YEAR 2001</t>
  </si>
  <si>
    <t>YEAR 2002</t>
  </si>
  <si>
    <t>YEAR 2003</t>
  </si>
  <si>
    <t>YEAR 2004</t>
  </si>
  <si>
    <t>YEAR 2005</t>
  </si>
  <si>
    <t>YEAR 2006</t>
  </si>
  <si>
    <t>YEAR 2007</t>
  </si>
  <si>
    <t>YEAR 2008</t>
  </si>
  <si>
    <t>YEAR 2009</t>
  </si>
  <si>
    <t>YEAR 2010</t>
  </si>
  <si>
    <t>PERCENTAGE</t>
  </si>
  <si>
    <t>DEBT</t>
  </si>
  <si>
    <t>ANNUAL REVENUE</t>
  </si>
  <si>
    <t>CIAC</t>
  </si>
  <si>
    <t>Total</t>
  </si>
  <si>
    <t>PROJECT COST</t>
  </si>
  <si>
    <t xml:space="preserve">  AFUDC</t>
  </si>
  <si>
    <t xml:space="preserve">  OVERHEAD</t>
  </si>
  <si>
    <t xml:space="preserve">  CONSTRUCTION</t>
  </si>
  <si>
    <t xml:space="preserve">  CONTRIBUTION</t>
  </si>
  <si>
    <t>Incremental Demand Volumes</t>
  </si>
  <si>
    <t>Accumulated Demand Volumes</t>
  </si>
  <si>
    <t>Commodity Volumes</t>
  </si>
  <si>
    <t>DEMAND REVENUES</t>
  </si>
  <si>
    <t>COMMODITY REVENUES</t>
  </si>
  <si>
    <t>These two cells Must be =</t>
  </si>
  <si>
    <t>INCENTIVE REVENUES</t>
  </si>
  <si>
    <t>TERMINAL VALUE</t>
  </si>
  <si>
    <t>TOTAL REVENUES</t>
  </si>
  <si>
    <t>TAX DEPRECIATION</t>
  </si>
  <si>
    <t>O&amp;M</t>
  </si>
  <si>
    <t>INTEREST EXPENSE</t>
  </si>
  <si>
    <t>Cells Must  = 0</t>
  </si>
  <si>
    <t>AD VALOREM TAX</t>
  </si>
  <si>
    <t>TOTAL EXPENSE</t>
  </si>
  <si>
    <t>INCOME BEFORE TAX</t>
  </si>
  <si>
    <t>INCOME TAX</t>
  </si>
  <si>
    <t>NET INCOME</t>
  </si>
  <si>
    <t>TAX REIMBURSEMENT</t>
  </si>
  <si>
    <t>TAXABLE INCOME</t>
  </si>
  <si>
    <t>INCOME TAX EXPENSE</t>
  </si>
  <si>
    <t>PRINCIPAL PAYMENT</t>
  </si>
  <si>
    <t>IRR</t>
  </si>
  <si>
    <t>CASH FLOW</t>
  </si>
  <si>
    <t xml:space="preserve">           FOR DISCUSSION ONLY</t>
  </si>
  <si>
    <t>TAX DEPRECIATION CALC:</t>
  </si>
  <si>
    <t xml:space="preserve">  BALANCE 2007 Construction</t>
  </si>
  <si>
    <t xml:space="preserve">  BALANCE 2003 Construction</t>
  </si>
  <si>
    <t xml:space="preserve">  BALANCE 2000 Construction</t>
  </si>
  <si>
    <t>Tax Depr Rate Schedule Yr 2007</t>
  </si>
  <si>
    <t>Tax Depr Rate Schedule Yr 2003</t>
  </si>
  <si>
    <t>Tax Depr Rate Schedule Yr 2000</t>
  </si>
  <si>
    <t>PREMATURE DEPR EXP</t>
  </si>
  <si>
    <t>NORMAL  DEPRECIATION EXP Yr 2007</t>
  </si>
  <si>
    <t>NORMAL  DEPRECIATION EXP Yr 2003</t>
  </si>
  <si>
    <t>NORMAL  DEPRECIATION EXP Yr 2000</t>
  </si>
  <si>
    <t>DEPRECIATION EXP</t>
  </si>
  <si>
    <t>DEBT AMOUNT  2007</t>
  </si>
  <si>
    <t>DEBT AMOUNT  2003</t>
  </si>
  <si>
    <t>DEBT AMOUNT  2000</t>
  </si>
  <si>
    <t>PRINCIPAL BALANCE</t>
  </si>
  <si>
    <t>PAYMENT  EXP YR 2007</t>
  </si>
  <si>
    <t>PAYMENT  EXP YR 2003</t>
  </si>
  <si>
    <t>PAYMENT  EXP YR 2000</t>
  </si>
  <si>
    <t>TOTAL PAYMENT</t>
  </si>
  <si>
    <t>INTEREST RATE</t>
  </si>
  <si>
    <t>INTEREST EXP YR 2007</t>
  </si>
  <si>
    <t>INTEREST EXP YR 2003</t>
  </si>
  <si>
    <t>INTEREST EXP YR 2000</t>
  </si>
  <si>
    <t>Total  Interest</t>
  </si>
  <si>
    <t>PRINCIPAL REPAY EXP YR 2007</t>
  </si>
  <si>
    <t>PRINCIPAL REPAY EXP YR 2003</t>
  </si>
  <si>
    <t>PRINCIPAL REPAY EXP YR 2000</t>
  </si>
  <si>
    <t>TOTAL PRINCIPAL PAYMENT</t>
  </si>
  <si>
    <t>Financing</t>
  </si>
  <si>
    <t>Debt</t>
  </si>
  <si>
    <t xml:space="preserve">    COMMODITY MARGINS</t>
  </si>
  <si>
    <t xml:space="preserve">        DEMAND RATES</t>
  </si>
  <si>
    <t xml:space="preserve"> TF12B</t>
  </si>
  <si>
    <t>TAX RATE</t>
  </si>
  <si>
    <t xml:space="preserve"> TF12V</t>
  </si>
  <si>
    <t xml:space="preserve"> TF5</t>
  </si>
  <si>
    <t>AD VAL %</t>
  </si>
  <si>
    <t xml:space="preserve"> TFX</t>
  </si>
  <si>
    <t xml:space="preserve"> TFF</t>
  </si>
  <si>
    <t xml:space="preserve"> TF12B Summer</t>
  </si>
  <si>
    <t xml:space="preserve"> TF12V / TFX Summer</t>
  </si>
  <si>
    <t xml:space="preserve"> TF5 /TFX Winter</t>
  </si>
  <si>
    <t xml:space="preserve"> TFV Winter</t>
  </si>
  <si>
    <t xml:space="preserve"> TI 12 month blended rate</t>
  </si>
  <si>
    <t xml:space="preserve"> TI Winter</t>
  </si>
  <si>
    <t xml:space="preserve"> TI Summer</t>
  </si>
  <si>
    <t xml:space="preserve"> TF12B Blended Rate</t>
  </si>
  <si>
    <t xml:space="preserve"> TF12V Blended Rate</t>
  </si>
  <si>
    <t xml:space="preserve"> TFX Blended Rate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</si>
  <si>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</si>
  <si>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</si>
  <si>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</si>
  <si>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</si>
  <si>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</si>
  <si>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</si>
  <si>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</si>
  <si>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</si>
  <si>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</si>
  <si>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</si>
  <si>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Construction Estimates</t>
  </si>
  <si>
    <t>Rate &amp; Volume Information</t>
  </si>
  <si>
    <t>Mainline</t>
  </si>
  <si>
    <t>Branchline</t>
  </si>
  <si>
    <t>Branchline Loop</t>
  </si>
  <si>
    <t>New Town Border Station</t>
  </si>
  <si>
    <t>Reciprocating Horsepower</t>
  </si>
  <si>
    <t>Turbine Horsepower</t>
  </si>
  <si>
    <t xml:space="preserve">HP Enviromental Costs </t>
  </si>
  <si>
    <t>Minnesota HP Enviromental Costs</t>
  </si>
  <si>
    <t>Quantity</t>
  </si>
  <si>
    <t>Cost Per Unit</t>
  </si>
  <si>
    <t>Total Cost</t>
  </si>
  <si>
    <t>O&amp;M Expense Year 1</t>
  </si>
  <si>
    <t>O&amp;M Expense Year 10</t>
  </si>
  <si>
    <t>O&amp;M Expense Year 9</t>
  </si>
  <si>
    <t>O&amp;M Expense Year 8</t>
  </si>
  <si>
    <t>O&amp;M Expense Year 7</t>
  </si>
  <si>
    <t>O&amp;M Expense Year 6</t>
  </si>
  <si>
    <t>O&amp;M Expense Year 5</t>
  </si>
  <si>
    <t>O&amp;M Expense Year 4</t>
  </si>
  <si>
    <t>O&amp;M Expense Year 3</t>
  </si>
  <si>
    <t>O&amp;M Expense Year 2</t>
  </si>
  <si>
    <t>O&amp;M Assumption Factor</t>
  </si>
  <si>
    <t>(Applied to Construction Costs)</t>
  </si>
  <si>
    <t>Total O&amp;M</t>
  </si>
  <si>
    <t>Inflation Factor</t>
  </si>
  <si>
    <t>Terminal Value</t>
  </si>
  <si>
    <t>Commodity Rate</t>
  </si>
  <si>
    <t>Based on Facity unit rate</t>
  </si>
  <si>
    <t>CIAC Received</t>
  </si>
  <si>
    <t>YEAR 2011</t>
  </si>
  <si>
    <t>YEAR 2012</t>
  </si>
  <si>
    <t>YEAR 2013</t>
  </si>
  <si>
    <t>YEAR 2014</t>
  </si>
  <si>
    <t>YEAR 2015</t>
  </si>
  <si>
    <t>Year 11</t>
  </si>
  <si>
    <t>Year 12</t>
  </si>
  <si>
    <t>Year 13</t>
  </si>
  <si>
    <t>Year 14</t>
  </si>
  <si>
    <t>Year 15</t>
  </si>
  <si>
    <t>Interest Rate</t>
  </si>
  <si>
    <t>YEAR 2016</t>
  </si>
  <si>
    <t>Year 16</t>
  </si>
  <si>
    <t>Year 17</t>
  </si>
  <si>
    <t>Year 18</t>
  </si>
  <si>
    <t>Year 19</t>
  </si>
  <si>
    <t>Year 20</t>
  </si>
  <si>
    <t>YEAR 2017</t>
  </si>
  <si>
    <t>YEAR 2018</t>
  </si>
  <si>
    <t>YEAR 2019</t>
  </si>
  <si>
    <t>YEAR 2020</t>
  </si>
  <si>
    <t>Winter Demand Volume</t>
  </si>
  <si>
    <t>Summer Demand Volume</t>
  </si>
  <si>
    <t>Schedule</t>
  </si>
  <si>
    <t>Months</t>
  </si>
  <si>
    <t>Winter</t>
  </si>
  <si>
    <t>Summer</t>
  </si>
  <si>
    <t>Sum Years 11 - 20</t>
  </si>
  <si>
    <t>EQUITY</t>
  </si>
  <si>
    <t>Term-YRS</t>
  </si>
  <si>
    <t>Volumes</t>
  </si>
  <si>
    <t>Winter Demand Rate</t>
  </si>
  <si>
    <t>Summer Demand Rate</t>
  </si>
  <si>
    <t>DCF</t>
  </si>
  <si>
    <t>Ciac With Gross Up</t>
  </si>
  <si>
    <t>For informational purposes only - Not to be construed as approval/disapproval by the Economic Analysis Dept.</t>
  </si>
  <si>
    <t>NPV @</t>
  </si>
  <si>
    <t>Incentive Revenues</t>
  </si>
  <si>
    <t>Sensitivity Analysis</t>
  </si>
  <si>
    <t>Project Cost</t>
  </si>
  <si>
    <t>Variance in Cost Est.</t>
  </si>
  <si>
    <t>(See Total Revenue )</t>
  </si>
  <si>
    <t>Winter Rate Schedule</t>
  </si>
  <si>
    <t>Summer Rate Schedule</t>
  </si>
  <si>
    <t>Project Name:</t>
  </si>
  <si>
    <t>NPV @ 9.5%</t>
  </si>
  <si>
    <t>Capital Structure</t>
  </si>
  <si>
    <t>Contract Term In Years</t>
  </si>
  <si>
    <t>Contract 1</t>
  </si>
  <si>
    <t>Contract 2</t>
  </si>
  <si>
    <t>Contract 3</t>
  </si>
  <si>
    <t xml:space="preserve">   Contract 1</t>
  </si>
  <si>
    <t xml:space="preserve">   Contract 2</t>
  </si>
  <si>
    <t xml:space="preserve">   Contract 3</t>
  </si>
  <si>
    <t>Winter Commodity Volume</t>
  </si>
  <si>
    <t>Summer Commodity Volume</t>
  </si>
  <si>
    <t xml:space="preserve"> TF 12B Winter</t>
  </si>
  <si>
    <t>Operations Justification</t>
  </si>
  <si>
    <t>Term of Benefit in Years</t>
  </si>
  <si>
    <t>Incremental Revenues</t>
  </si>
  <si>
    <t>O&amp;M Savings</t>
  </si>
  <si>
    <t>OPERATIONS JUSTIFICATION</t>
  </si>
  <si>
    <t xml:space="preserve">   Incremental Revenues</t>
  </si>
  <si>
    <t xml:space="preserve">   O&amp;M Savings</t>
  </si>
  <si>
    <t>COS Excluding O&amp;M</t>
  </si>
  <si>
    <t>Percentage Reduction To COS</t>
  </si>
  <si>
    <t>Estimated Management Fee</t>
  </si>
  <si>
    <t>Total TW Current COS</t>
  </si>
  <si>
    <t>Sales Price</t>
  </si>
  <si>
    <t>Net Cash Flow</t>
  </si>
  <si>
    <t>Balloon Pmt</t>
  </si>
  <si>
    <t>Depreciation Expense</t>
  </si>
  <si>
    <t>Ad Valorem Tax</t>
  </si>
  <si>
    <t>Management Fee</t>
  </si>
  <si>
    <t>Severance Costs</t>
  </si>
  <si>
    <t>FOR DISCUSSION ONLY</t>
  </si>
  <si>
    <t>Current Expenses Included In Management Fee</t>
  </si>
  <si>
    <t>Gain From Sale Net of Severance Costs</t>
  </si>
  <si>
    <t>Ebit Increase / (Decrease)</t>
  </si>
  <si>
    <t>Net Book Value of Assets Sold</t>
  </si>
  <si>
    <t>Cost of Sale - Severance Costs</t>
  </si>
  <si>
    <t>Assumptions for Hanover</t>
  </si>
  <si>
    <t>Terminal Value end of Contract Term</t>
  </si>
  <si>
    <t>Purchase Price</t>
  </si>
  <si>
    <t>Combined Income Tax Rate</t>
  </si>
  <si>
    <t>(Terminal value equal to estimated NBV for TW in 7Years)</t>
  </si>
  <si>
    <t>Annual Loan PMT</t>
  </si>
  <si>
    <t>Hanover Management Fee</t>
  </si>
  <si>
    <t>Return &amp; Taxes</t>
  </si>
  <si>
    <t>Loan Payment</t>
  </si>
  <si>
    <t>Note:  Management fee assumes that Hanover is able to lower O&amp;M costs by 10% and keep these costs flat for 7 years.</t>
  </si>
  <si>
    <t>Loan Term -Yrs</t>
  </si>
  <si>
    <t>Hanover Cash Flow</t>
  </si>
  <si>
    <t>Purchase of Assets</t>
  </si>
  <si>
    <t>Income Taxes</t>
  </si>
  <si>
    <t>Sale of Assets</t>
  </si>
  <si>
    <t>Revenues - Management Fee</t>
  </si>
  <si>
    <t>IRR of Cash Flow</t>
  </si>
  <si>
    <t>Current TW COS</t>
  </si>
  <si>
    <t>Interest Expense</t>
  </si>
  <si>
    <t>Impact on Sale To Transwestern</t>
  </si>
  <si>
    <t>Financing Details</t>
  </si>
  <si>
    <t>Cash Invested</t>
  </si>
  <si>
    <t>Amount Financed</t>
  </si>
  <si>
    <t>TW Compressor Monetization</t>
  </si>
  <si>
    <t>Income Tax</t>
  </si>
  <si>
    <t>Buy Back of Assets</t>
  </si>
  <si>
    <t>Change in TW EBIT Due to Compressor Sale</t>
  </si>
  <si>
    <t>Total Add Back for current Expenses</t>
  </si>
  <si>
    <t>COS Revenues</t>
  </si>
  <si>
    <t>Mgmt Fee</t>
  </si>
  <si>
    <t>Return on Sale Proceeds Reinvested @ 9.5%</t>
  </si>
  <si>
    <t xml:space="preserve">O&amp;M </t>
  </si>
  <si>
    <t>TW Estimated Cash Flow Without Sale</t>
  </si>
  <si>
    <t>TW Estimated Cash Flow With Sale</t>
  </si>
  <si>
    <t>Tax Net Book</t>
  </si>
  <si>
    <t>Tax Gain on Sale</t>
  </si>
  <si>
    <t>Tax on Sale</t>
  </si>
  <si>
    <t>Book Gain on Sale</t>
  </si>
  <si>
    <t>Hanover IRR</t>
  </si>
  <si>
    <t>Reduction to COS</t>
  </si>
  <si>
    <t>Interest Income on Net Sales Proceeds @ 9.5%</t>
  </si>
  <si>
    <t>Total EBIT and Interest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</si>
</sst>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00"/>
    <numFmt numFmtId="167" formatCode="_(&quot;$&quot;* #,##0_);_(&quot;$&quot;* \(#,##0\);_(&quot;$&quot;* &quot;-&quot;??_);_(@_)"/>
    <numFmt numFmtId="168" formatCode="0.000_)"/>
    <numFmt numFmtId="170" formatCode="0.0000_)"/>
    <numFmt numFmtId="174" formatCode="#,##0.0000_);\(#,##0.0000\)"/>
    <numFmt numFmtId="181" formatCode="0.0000"/>
    <numFmt numFmtId="192" formatCode="0.0%"/>
    <numFmt numFmtId="195" formatCode="_(* #,##0_);_(* \(#,##0\);_(* &quot;-&quot;??_);_(@_)"/>
    <numFmt numFmtId="200" formatCode="&quot;$&quot;#,##0"/>
  </numFmts>
  <fonts count="15">
    <font>
      <sz val="10"/>
      <name val="Arial"/>
    </font>
    <font>
      <sz val="10"/>
      <name val="Arial"/>
    </font>
    <font>
      <sz val="8"/>
      <name val="Arial"/>
      <family val="2"/>
    </font>
    <font>
      <sz val="8"/>
      <name val="Arial"/>
    </font>
    <font>
      <b/>
      <sz val="12"/>
      <name val="Arial"/>
      <family val="2"/>
    </font>
    <font>
      <b/>
      <sz val="8"/>
      <name val="Arial MT"/>
    </font>
    <font>
      <b/>
      <sz val="8"/>
      <name val="Arial"/>
      <family val="2"/>
    </font>
    <font>
      <b/>
      <sz val="8"/>
      <color indexed="17"/>
      <name val="Arial MT"/>
    </font>
    <font>
      <b/>
      <u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MS Sans Serif"/>
    </font>
    <font>
      <b/>
      <i/>
      <sz val="12"/>
      <name val="Arial MT"/>
    </font>
    <font>
      <sz val="9"/>
      <name val="Arial MT"/>
    </font>
    <font>
      <sz val="8"/>
      <name val="Arial MT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3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2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Fill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37" fontId="2" fillId="0" borderId="0" xfId="0" applyNumberFormat="1" applyFont="1" applyFill="1" applyAlignment="1" applyProtection="1">
      <alignment horizontal="centerContinuous"/>
      <protection locked="0"/>
    </xf>
    <xf numFmtId="0" fontId="2" fillId="0" borderId="0" xfId="0" applyFont="1" applyAlignment="1" applyProtection="1">
      <alignment horizontal="left"/>
      <protection locked="0"/>
    </xf>
    <xf numFmtId="37" fontId="2" fillId="0" borderId="0" xfId="0" applyNumberFormat="1" applyFont="1" applyFill="1" applyAlignment="1" applyProtection="1">
      <alignment horizontal="right"/>
    </xf>
    <xf numFmtId="0" fontId="2" fillId="0" borderId="0" xfId="0" applyFont="1" applyProtection="1">
      <protection locked="0"/>
    </xf>
    <xf numFmtId="0" fontId="2" fillId="0" borderId="0" xfId="0" applyFont="1" applyFill="1" applyProtection="1">
      <protection locked="0"/>
    </xf>
    <xf numFmtId="37" fontId="2" fillId="0" borderId="1" xfId="0" applyNumberFormat="1" applyFont="1" applyFill="1" applyBorder="1" applyAlignment="1" applyProtection="1">
      <alignment horizontal="right"/>
    </xf>
    <xf numFmtId="167" fontId="2" fillId="0" borderId="1" xfId="2" applyNumberFormat="1" applyFont="1" applyBorder="1" applyAlignment="1" applyProtection="1">
      <alignment horizontal="right"/>
    </xf>
    <xf numFmtId="0" fontId="2" fillId="0" borderId="0" xfId="0" applyFont="1" applyFill="1" applyAlignment="1" applyProtection="1">
      <alignment horizontal="right"/>
    </xf>
    <xf numFmtId="167" fontId="2" fillId="0" borderId="0" xfId="2" applyNumberFormat="1" applyFont="1" applyAlignment="1" applyProtection="1">
      <alignment horizontal="right"/>
    </xf>
    <xf numFmtId="37" fontId="2" fillId="0" borderId="0" xfId="0" applyNumberFormat="1" applyFont="1" applyFill="1" applyProtection="1"/>
    <xf numFmtId="0" fontId="2" fillId="0" borderId="0" xfId="0" applyFont="1" applyAlignment="1" applyProtection="1">
      <alignment horizontal="center"/>
      <protection locked="0"/>
    </xf>
    <xf numFmtId="37" fontId="2" fillId="0" borderId="1" xfId="0" applyNumberFormat="1" applyFont="1" applyBorder="1" applyAlignment="1" applyProtection="1">
      <alignment horizontal="right"/>
    </xf>
    <xf numFmtId="1" fontId="2" fillId="0" borderId="0" xfId="0" applyNumberFormat="1" applyFont="1" applyFill="1" applyAlignment="1" applyProtection="1">
      <alignment horizontal="right"/>
    </xf>
    <xf numFmtId="37" fontId="2" fillId="0" borderId="0" xfId="0" applyNumberFormat="1" applyFont="1" applyAlignment="1" applyProtection="1">
      <alignment horizontal="right"/>
    </xf>
    <xf numFmtId="10" fontId="6" fillId="0" borderId="2" xfId="0" applyNumberFormat="1" applyFont="1" applyBorder="1" applyAlignment="1" applyProtection="1">
      <alignment horizontal="center"/>
      <protection locked="0"/>
    </xf>
    <xf numFmtId="5" fontId="6" fillId="0" borderId="0" xfId="0" applyNumberFormat="1" applyFont="1" applyFill="1" applyAlignment="1" applyProtection="1">
      <alignment horizontal="right"/>
    </xf>
    <xf numFmtId="5" fontId="6" fillId="0" borderId="0" xfId="0" applyNumberFormat="1" applyFont="1" applyAlignment="1" applyProtection="1">
      <alignment horizontal="right"/>
    </xf>
    <xf numFmtId="167" fontId="6" fillId="0" borderId="0" xfId="2" applyNumberFormat="1" applyFont="1" applyAlignment="1" applyProtection="1">
      <alignment horizontal="right"/>
    </xf>
    <xf numFmtId="6" fontId="6" fillId="0" borderId="3" xfId="0" applyNumberFormat="1" applyFont="1" applyBorder="1" applyProtection="1">
      <protection locked="0"/>
    </xf>
    <xf numFmtId="0" fontId="6" fillId="0" borderId="0" xfId="0" applyFont="1" applyBorder="1" applyAlignment="1" applyProtection="1">
      <alignment horizontal="right"/>
      <protection locked="0"/>
    </xf>
    <xf numFmtId="6" fontId="6" fillId="0" borderId="0" xfId="0" applyNumberFormat="1" applyFont="1" applyBorder="1" applyProtection="1">
      <protection locked="0"/>
    </xf>
    <xf numFmtId="5" fontId="6" fillId="0" borderId="0" xfId="0" applyNumberFormat="1" applyFont="1" applyFill="1" applyBorder="1" applyAlignment="1" applyProtection="1">
      <alignment horizontal="right"/>
    </xf>
    <xf numFmtId="5" fontId="6" fillId="0" borderId="0" xfId="0" applyNumberFormat="1" applyFont="1" applyBorder="1" applyAlignment="1" applyProtection="1">
      <alignment horizontal="right"/>
    </xf>
    <xf numFmtId="167" fontId="6" fillId="0" borderId="0" xfId="2" applyNumberFormat="1" applyFont="1" applyBorder="1" applyAlignment="1" applyProtection="1">
      <alignment horizontal="right"/>
    </xf>
    <xf numFmtId="0" fontId="6" fillId="0" borderId="4" xfId="0" quotePrefix="1" applyFont="1" applyBorder="1" applyAlignment="1" applyProtection="1">
      <alignment horizontal="left"/>
    </xf>
    <xf numFmtId="37" fontId="2" fillId="0" borderId="5" xfId="0" applyNumberFormat="1" applyFont="1" applyBorder="1" applyAlignment="1" applyProtection="1">
      <alignment horizontal="right"/>
    </xf>
    <xf numFmtId="37" fontId="2" fillId="0" borderId="6" xfId="0" applyNumberFormat="1" applyFont="1" applyBorder="1" applyAlignment="1" applyProtection="1">
      <alignment horizontal="right"/>
    </xf>
    <xf numFmtId="0" fontId="2" fillId="0" borderId="0" xfId="0" applyFont="1" applyAlignment="1" applyProtection="1">
      <alignment horizontal="right"/>
    </xf>
    <xf numFmtId="8" fontId="2" fillId="0" borderId="0" xfId="0" applyNumberFormat="1" applyFont="1" applyBorder="1" applyProtection="1">
      <protection locked="0"/>
    </xf>
    <xf numFmtId="10" fontId="2" fillId="0" borderId="0" xfId="0" applyNumberFormat="1" applyFont="1" applyAlignment="1" applyProtection="1">
      <alignment horizontal="right"/>
    </xf>
    <xf numFmtId="10" fontId="2" fillId="0" borderId="0" xfId="0" applyNumberFormat="1" applyFont="1" applyAlignment="1" applyProtection="1">
      <alignment horizontal="right"/>
      <protection locked="0"/>
    </xf>
    <xf numFmtId="0" fontId="2" fillId="0" borderId="0" xfId="0" quotePrefix="1" applyFont="1" applyAlignment="1" applyProtection="1">
      <alignment horizontal="left"/>
      <protection locked="0"/>
    </xf>
    <xf numFmtId="0" fontId="6" fillId="0" borderId="0" xfId="0" applyFont="1" applyAlignment="1" applyProtection="1">
      <alignment horizontal="left"/>
      <protection locked="0"/>
    </xf>
    <xf numFmtId="0" fontId="6" fillId="0" borderId="0" xfId="0" applyFont="1" applyProtection="1">
      <protection locked="0"/>
    </xf>
    <xf numFmtId="0" fontId="6" fillId="0" borderId="0" xfId="0" applyFont="1" applyBorder="1" applyProtection="1">
      <protection locked="0"/>
    </xf>
    <xf numFmtId="37" fontId="6" fillId="0" borderId="1" xfId="0" applyNumberFormat="1" applyFont="1" applyBorder="1" applyAlignment="1" applyProtection="1">
      <alignment horizontal="right"/>
    </xf>
    <xf numFmtId="42" fontId="6" fillId="3" borderId="0" xfId="0" applyNumberFormat="1" applyFont="1" applyFill="1" applyProtection="1">
      <protection locked="0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168" fontId="5" fillId="0" borderId="7" xfId="0" applyNumberFormat="1" applyFont="1" applyBorder="1" applyProtection="1"/>
    <xf numFmtId="0" fontId="5" fillId="0" borderId="0" xfId="0" applyFont="1" applyBorder="1" applyAlignment="1">
      <alignment horizontal="left"/>
    </xf>
    <xf numFmtId="0" fontId="3" fillId="0" borderId="0" xfId="0" applyFont="1" applyBorder="1"/>
    <xf numFmtId="170" fontId="7" fillId="0" borderId="0" xfId="0" applyNumberFormat="1" applyFont="1" applyBorder="1" applyProtection="1"/>
    <xf numFmtId="0" fontId="5" fillId="0" borderId="0" xfId="0" applyFont="1" applyBorder="1"/>
    <xf numFmtId="0" fontId="5" fillId="0" borderId="8" xfId="0" applyFont="1" applyBorder="1" applyAlignment="1">
      <alignment horizontal="left"/>
    </xf>
    <xf numFmtId="0" fontId="5" fillId="0" borderId="9" xfId="0" applyFont="1" applyBorder="1"/>
    <xf numFmtId="170" fontId="7" fillId="0" borderId="9" xfId="0" applyNumberFormat="1" applyFont="1" applyBorder="1" applyProtection="1"/>
    <xf numFmtId="0" fontId="5" fillId="0" borderId="9" xfId="0" applyFont="1" applyBorder="1" applyAlignment="1">
      <alignment horizontal="left"/>
    </xf>
    <xf numFmtId="170" fontId="7" fillId="0" borderId="10" xfId="0" applyNumberFormat="1" applyFont="1" applyBorder="1" applyProtection="1"/>
    <xf numFmtId="0" fontId="5" fillId="0" borderId="11" xfId="0" applyFont="1" applyBorder="1" applyAlignment="1">
      <alignment horizontal="left"/>
    </xf>
    <xf numFmtId="0" fontId="2" fillId="0" borderId="0" xfId="0" applyFont="1" applyBorder="1"/>
    <xf numFmtId="170" fontId="7" fillId="0" borderId="12" xfId="0" applyNumberFormat="1" applyFont="1" applyBorder="1" applyProtection="1"/>
    <xf numFmtId="0" fontId="6" fillId="0" borderId="11" xfId="0" applyFont="1" applyBorder="1"/>
    <xf numFmtId="0" fontId="6" fillId="0" borderId="0" xfId="0" applyFont="1" applyBorder="1"/>
    <xf numFmtId="0" fontId="5" fillId="0" borderId="13" xfId="0" applyFont="1" applyBorder="1" applyAlignment="1">
      <alignment horizontal="left"/>
    </xf>
    <xf numFmtId="0" fontId="5" fillId="0" borderId="14" xfId="0" applyFont="1" applyBorder="1"/>
    <xf numFmtId="170" fontId="7" fillId="0" borderId="14" xfId="0" applyNumberFormat="1" applyFont="1" applyBorder="1" applyProtection="1"/>
    <xf numFmtId="0" fontId="2" fillId="0" borderId="14" xfId="0" applyFont="1" applyBorder="1"/>
    <xf numFmtId="0" fontId="2" fillId="0" borderId="15" xfId="0" applyFont="1" applyBorder="1"/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0" fontId="2" fillId="0" borderId="0" xfId="0" applyNumberFormat="1" applyFont="1" applyFill="1" applyAlignment="1">
      <alignment horizontal="center"/>
    </xf>
    <xf numFmtId="42" fontId="2" fillId="0" borderId="0" xfId="0" applyNumberFormat="1" applyFont="1" applyFill="1"/>
    <xf numFmtId="42" fontId="2" fillId="0" borderId="0" xfId="0" applyNumberFormat="1" applyFont="1"/>
    <xf numFmtId="10" fontId="2" fillId="0" borderId="0" xfId="0" applyNumberFormat="1" applyFont="1" applyFill="1"/>
    <xf numFmtId="9" fontId="2" fillId="0" borderId="0" xfId="0" applyNumberFormat="1" applyFont="1" applyFill="1"/>
    <xf numFmtId="44" fontId="2" fillId="0" borderId="0" xfId="0" applyNumberFormat="1" applyFont="1" applyFill="1"/>
    <xf numFmtId="0" fontId="2" fillId="0" borderId="0" xfId="0" applyFont="1" applyFill="1" applyAlignment="1">
      <alignment horizontal="center"/>
    </xf>
    <xf numFmtId="8" fontId="2" fillId="0" borderId="0" xfId="0" applyNumberFormat="1" applyFont="1" applyFill="1"/>
    <xf numFmtId="3" fontId="9" fillId="0" borderId="0" xfId="0" applyNumberFormat="1" applyFont="1" applyFill="1"/>
    <xf numFmtId="3" fontId="2" fillId="0" borderId="0" xfId="0" applyNumberFormat="1" applyFont="1"/>
    <xf numFmtId="37" fontId="2" fillId="0" borderId="0" xfId="0" applyNumberFormat="1" applyFont="1" applyFill="1"/>
    <xf numFmtId="3" fontId="2" fillId="0" borderId="0" xfId="0" applyNumberFormat="1" applyFont="1" applyFill="1"/>
    <xf numFmtId="3" fontId="2" fillId="0" borderId="0" xfId="0" applyNumberFormat="1" applyFont="1" applyFill="1" applyProtection="1"/>
    <xf numFmtId="3" fontId="2" fillId="0" borderId="0" xfId="0" applyNumberFormat="1" applyFont="1" applyProtection="1"/>
    <xf numFmtId="0" fontId="2" fillId="0" borderId="0" xfId="0" applyFont="1" applyFill="1" applyProtection="1"/>
    <xf numFmtId="0" fontId="2" fillId="0" borderId="0" xfId="0" applyFont="1" applyProtection="1"/>
    <xf numFmtId="37" fontId="2" fillId="0" borderId="0" xfId="0" applyNumberFormat="1" applyFont="1" applyProtection="1"/>
    <xf numFmtId="164" fontId="2" fillId="4" borderId="0" xfId="0" applyNumberFormat="1" applyFont="1" applyFill="1"/>
    <xf numFmtId="0" fontId="2" fillId="4" borderId="0" xfId="0" applyFont="1" applyFill="1"/>
    <xf numFmtId="164" fontId="2" fillId="0" borderId="0" xfId="0" applyNumberFormat="1" applyFont="1"/>
    <xf numFmtId="37" fontId="2" fillId="3" borderId="0" xfId="0" applyNumberFormat="1" applyFont="1" applyFill="1" applyProtection="1">
      <protection locked="0"/>
    </xf>
    <xf numFmtId="3" fontId="2" fillId="3" borderId="0" xfId="0" applyNumberFormat="1" applyFont="1" applyFill="1" applyProtection="1">
      <protection locked="0"/>
    </xf>
    <xf numFmtId="0" fontId="2" fillId="3" borderId="0" xfId="0" applyFont="1" applyFill="1" applyProtection="1">
      <protection locked="0"/>
    </xf>
    <xf numFmtId="10" fontId="2" fillId="0" borderId="0" xfId="0" applyNumberFormat="1" applyFont="1" applyBorder="1" applyAlignment="1" applyProtection="1">
      <alignment horizontal="left"/>
    </xf>
    <xf numFmtId="0" fontId="2" fillId="0" borderId="0" xfId="0" applyFont="1" applyBorder="1" applyProtection="1">
      <protection locked="0"/>
    </xf>
    <xf numFmtId="44" fontId="2" fillId="0" borderId="0" xfId="0" applyNumberFormat="1" applyFont="1" applyBorder="1" applyProtection="1">
      <protection locked="0"/>
    </xf>
    <xf numFmtId="37" fontId="2" fillId="0" borderId="0" xfId="0" applyNumberFormat="1" applyFont="1" applyProtection="1">
      <protection locked="0"/>
    </xf>
    <xf numFmtId="42" fontId="2" fillId="0" borderId="0" xfId="0" applyNumberFormat="1" applyFont="1" applyProtection="1"/>
    <xf numFmtId="10" fontId="6" fillId="0" borderId="0" xfId="0" applyNumberFormat="1" applyFont="1" applyFill="1" applyProtection="1"/>
    <xf numFmtId="3" fontId="2" fillId="0" borderId="1" xfId="0" applyNumberFormat="1" applyFont="1" applyBorder="1" applyProtection="1"/>
    <xf numFmtId="9" fontId="6" fillId="0" borderId="0" xfId="0" applyNumberFormat="1" applyFont="1" applyFill="1" applyProtection="1"/>
    <xf numFmtId="6" fontId="2" fillId="0" borderId="0" xfId="0" applyNumberFormat="1" applyFont="1" applyProtection="1"/>
    <xf numFmtId="3" fontId="2" fillId="3" borderId="0" xfId="0" applyNumberFormat="1" applyFont="1" applyFill="1"/>
    <xf numFmtId="168" fontId="5" fillId="0" borderId="0" xfId="0" applyNumberFormat="1" applyFont="1" applyBorder="1" applyProtection="1"/>
    <xf numFmtId="10" fontId="6" fillId="0" borderId="0" xfId="0" applyNumberFormat="1" applyFont="1" applyAlignment="1" applyProtection="1">
      <alignment horizontal="right"/>
    </xf>
    <xf numFmtId="37" fontId="3" fillId="3" borderId="0" xfId="0" applyNumberFormat="1" applyFont="1" applyFill="1" applyProtection="1"/>
    <xf numFmtId="38" fontId="2" fillId="0" borderId="0" xfId="0" applyNumberFormat="1" applyFont="1" applyProtection="1"/>
    <xf numFmtId="0" fontId="6" fillId="0" borderId="16" xfId="0" applyFont="1" applyFill="1" applyBorder="1" applyAlignment="1">
      <alignment horizontal="center"/>
    </xf>
    <xf numFmtId="0" fontId="2" fillId="0" borderId="0" xfId="0" applyFont="1" applyAlignment="1" applyProtection="1">
      <alignment horizontal="right"/>
      <protection locked="0"/>
    </xf>
    <xf numFmtId="168" fontId="6" fillId="0" borderId="17" xfId="0" applyNumberFormat="1" applyFont="1" applyBorder="1" applyAlignment="1" applyProtection="1">
      <alignment horizontal="center"/>
    </xf>
    <xf numFmtId="37" fontId="2" fillId="0" borderId="0" xfId="0" applyNumberFormat="1" applyFont="1" applyFill="1" applyBorder="1" applyAlignment="1" applyProtection="1">
      <alignment horizontal="right"/>
    </xf>
    <xf numFmtId="0" fontId="2" fillId="0" borderId="0" xfId="0" applyFont="1" applyFill="1" applyBorder="1" applyAlignment="1" applyProtection="1">
      <alignment horizontal="right"/>
    </xf>
    <xf numFmtId="37" fontId="2" fillId="0" borderId="0" xfId="0" applyNumberFormat="1" applyFont="1" applyFill="1" applyBorder="1" applyProtection="1"/>
    <xf numFmtId="0" fontId="2" fillId="0" borderId="0" xfId="0" applyFont="1" applyFill="1" applyBorder="1" applyProtection="1">
      <protection locked="0"/>
    </xf>
    <xf numFmtId="37" fontId="2" fillId="0" borderId="0" xfId="0" applyNumberFormat="1" applyFont="1" applyBorder="1" applyAlignment="1" applyProtection="1">
      <alignment horizontal="right"/>
    </xf>
    <xf numFmtId="0" fontId="6" fillId="2" borderId="0" xfId="0" applyFont="1" applyFill="1"/>
    <xf numFmtId="0" fontId="6" fillId="0" borderId="0" xfId="0" applyFont="1" applyFill="1"/>
    <xf numFmtId="42" fontId="6" fillId="0" borderId="18" xfId="0" applyNumberFormat="1" applyFont="1" applyBorder="1"/>
    <xf numFmtId="42" fontId="6" fillId="0" borderId="19" xfId="0" applyNumberFormat="1" applyFont="1" applyFill="1" applyBorder="1" applyAlignment="1">
      <alignment horizontal="center"/>
    </xf>
    <xf numFmtId="0" fontId="6" fillId="0" borderId="2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167" fontId="2" fillId="0" borderId="0" xfId="2" applyNumberFormat="1" applyFont="1" applyAlignment="1">
      <alignment horizontal="right"/>
    </xf>
    <xf numFmtId="0" fontId="10" fillId="0" borderId="0" xfId="0" applyFont="1"/>
    <xf numFmtId="164" fontId="10" fillId="0" borderId="0" xfId="0" applyNumberFormat="1" applyFont="1"/>
    <xf numFmtId="181" fontId="2" fillId="0" borderId="22" xfId="0" applyNumberFormat="1" applyFont="1" applyFill="1" applyBorder="1"/>
    <xf numFmtId="181" fontId="2" fillId="0" borderId="24" xfId="0" applyNumberFormat="1" applyFont="1" applyFill="1" applyBorder="1"/>
    <xf numFmtId="0" fontId="6" fillId="0" borderId="0" xfId="0" applyFont="1" applyAlignment="1" applyProtection="1">
      <alignment horizontal="right"/>
      <protection locked="0"/>
    </xf>
    <xf numFmtId="10" fontId="6" fillId="0" borderId="25" xfId="0" applyNumberFormat="1" applyFont="1" applyBorder="1" applyAlignment="1" applyProtection="1">
      <alignment horizontal="left"/>
      <protection locked="0"/>
    </xf>
    <xf numFmtId="170" fontId="5" fillId="0" borderId="7" xfId="0" applyNumberFormat="1" applyFont="1" applyBorder="1" applyProtection="1"/>
    <xf numFmtId="0" fontId="12" fillId="0" borderId="0" xfId="0" applyFont="1"/>
    <xf numFmtId="0" fontId="0" fillId="0" borderId="0" xfId="0" quotePrefix="1" applyBorder="1" applyAlignment="1">
      <alignment horizontal="right"/>
    </xf>
    <xf numFmtId="42" fontId="0" fillId="0" borderId="0" xfId="0" applyNumberFormat="1" applyBorder="1"/>
    <xf numFmtId="0" fontId="2" fillId="0" borderId="22" xfId="0" applyFont="1" applyBorder="1"/>
    <xf numFmtId="0" fontId="6" fillId="0" borderId="20" xfId="0" applyFont="1" applyBorder="1" applyAlignment="1">
      <alignment horizontal="center"/>
    </xf>
    <xf numFmtId="0" fontId="2" fillId="0" borderId="24" xfId="0" applyFont="1" applyBorder="1"/>
    <xf numFmtId="0" fontId="6" fillId="0" borderId="26" xfId="0" applyFont="1" applyFill="1" applyBorder="1" applyAlignment="1">
      <alignment horizontal="center"/>
    </xf>
    <xf numFmtId="41" fontId="2" fillId="0" borderId="25" xfId="0" applyNumberFormat="1" applyFont="1" applyFill="1" applyBorder="1"/>
    <xf numFmtId="41" fontId="2" fillId="0" borderId="27" xfId="0" applyNumberFormat="1" applyFont="1" applyFill="1" applyBorder="1"/>
    <xf numFmtId="0" fontId="6" fillId="0" borderId="28" xfId="0" applyFont="1" applyBorder="1" applyAlignment="1">
      <alignment horizontal="center"/>
    </xf>
    <xf numFmtId="10" fontId="2" fillId="0" borderId="29" xfId="0" applyNumberFormat="1" applyFont="1" applyBorder="1" applyAlignment="1">
      <alignment horizontal="center"/>
    </xf>
    <xf numFmtId="10" fontId="2" fillId="0" borderId="30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right"/>
    </xf>
    <xf numFmtId="37" fontId="6" fillId="0" borderId="0" xfId="0" applyNumberFormat="1" applyFont="1" applyFill="1" applyAlignment="1" applyProtection="1">
      <alignment horizontal="centerContinuous"/>
      <protection locked="0"/>
    </xf>
    <xf numFmtId="37" fontId="6" fillId="0" borderId="0" xfId="0" applyNumberFormat="1" applyFont="1" applyFill="1" applyAlignment="1" applyProtection="1">
      <alignment horizontal="left"/>
      <protection locked="0"/>
    </xf>
    <xf numFmtId="42" fontId="6" fillId="0" borderId="0" xfId="0" applyNumberFormat="1" applyFont="1" applyFill="1"/>
    <xf numFmtId="0" fontId="6" fillId="0" borderId="0" xfId="0" applyFont="1" applyAlignment="1">
      <alignment horizontal="right"/>
    </xf>
    <xf numFmtId="10" fontId="6" fillId="0" borderId="0" xfId="0" applyNumberFormat="1" applyFont="1" applyFill="1"/>
    <xf numFmtId="0" fontId="6" fillId="0" borderId="22" xfId="0" applyFont="1" applyBorder="1" applyAlignment="1">
      <alignment horizontal="center"/>
    </xf>
    <xf numFmtId="0" fontId="6" fillId="0" borderId="22" xfId="0" applyFont="1" applyBorder="1"/>
    <xf numFmtId="42" fontId="6" fillId="0" borderId="22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22" xfId="0" applyFont="1" applyFill="1" applyBorder="1"/>
    <xf numFmtId="0" fontId="2" fillId="0" borderId="0" xfId="0" applyFont="1" applyAlignment="1"/>
    <xf numFmtId="10" fontId="6" fillId="0" borderId="22" xfId="0" applyNumberFormat="1" applyFont="1" applyFill="1" applyBorder="1" applyAlignment="1">
      <alignment horizontal="left"/>
    </xf>
    <xf numFmtId="167" fontId="6" fillId="0" borderId="22" xfId="2" applyNumberFormat="1" applyFont="1" applyBorder="1"/>
    <xf numFmtId="0" fontId="6" fillId="0" borderId="19" xfId="0" applyFont="1" applyBorder="1" applyAlignment="1">
      <alignment horizontal="left"/>
    </xf>
    <xf numFmtId="10" fontId="6" fillId="0" borderId="28" xfId="0" applyNumberFormat="1" applyFont="1" applyBorder="1" applyAlignment="1">
      <alignment horizontal="center"/>
    </xf>
    <xf numFmtId="0" fontId="6" fillId="0" borderId="23" xfId="0" applyFont="1" applyBorder="1" applyAlignment="1">
      <alignment horizontal="left"/>
    </xf>
    <xf numFmtId="10" fontId="6" fillId="0" borderId="30" xfId="0" applyNumberFormat="1" applyFont="1" applyBorder="1" applyAlignment="1">
      <alignment horizontal="center"/>
    </xf>
    <xf numFmtId="10" fontId="6" fillId="0" borderId="0" xfId="0" applyNumberFormat="1" applyFont="1" applyFill="1" applyAlignment="1">
      <alignment horizontal="left"/>
    </xf>
    <xf numFmtId="0" fontId="6" fillId="2" borderId="0" xfId="0" applyFont="1" applyFill="1" applyProtection="1">
      <protection locked="0"/>
    </xf>
    <xf numFmtId="37" fontId="2" fillId="2" borderId="0" xfId="0" applyNumberFormat="1" applyFont="1" applyFill="1" applyProtection="1">
      <protection locked="0"/>
    </xf>
    <xf numFmtId="9" fontId="2" fillId="2" borderId="0" xfId="0" applyNumberFormat="1" applyFont="1" applyFill="1" applyProtection="1">
      <protection locked="0"/>
    </xf>
    <xf numFmtId="167" fontId="6" fillId="2" borderId="0" xfId="2" applyNumberFormat="1" applyFont="1" applyFill="1" applyProtection="1">
      <protection locked="0"/>
    </xf>
    <xf numFmtId="0" fontId="2" fillId="2" borderId="22" xfId="0" applyFont="1" applyFill="1" applyBorder="1" applyProtection="1">
      <protection locked="0"/>
    </xf>
    <xf numFmtId="170" fontId="2" fillId="2" borderId="22" xfId="0" applyNumberFormat="1" applyFont="1" applyFill="1" applyBorder="1" applyProtection="1">
      <protection locked="0"/>
    </xf>
    <xf numFmtId="174" fontId="2" fillId="2" borderId="22" xfId="0" applyNumberFormat="1" applyFont="1" applyFill="1" applyBorder="1" applyProtection="1"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37" fontId="2" fillId="2" borderId="22" xfId="0" applyNumberFormat="1" applyFont="1" applyFill="1" applyBorder="1" applyAlignment="1" applyProtection="1">
      <alignment horizontal="center"/>
      <protection locked="0"/>
    </xf>
    <xf numFmtId="10" fontId="2" fillId="2" borderId="22" xfId="0" applyNumberFormat="1" applyFont="1" applyFill="1" applyBorder="1" applyProtection="1">
      <protection locked="0"/>
    </xf>
    <xf numFmtId="42" fontId="2" fillId="2" borderId="22" xfId="0" applyNumberFormat="1" applyFont="1" applyFill="1" applyBorder="1" applyProtection="1">
      <protection locked="0"/>
    </xf>
    <xf numFmtId="0" fontId="2" fillId="2" borderId="0" xfId="0" applyFont="1" applyFill="1" applyProtection="1">
      <protection locked="0"/>
    </xf>
    <xf numFmtId="42" fontId="2" fillId="0" borderId="0" xfId="0" applyNumberFormat="1" applyFont="1" applyFill="1" applyProtection="1">
      <protection locked="0"/>
    </xf>
    <xf numFmtId="10" fontId="2" fillId="0" borderId="0" xfId="0" applyNumberFormat="1" applyFont="1" applyFill="1" applyProtection="1">
      <protection locked="0"/>
    </xf>
    <xf numFmtId="195" fontId="2" fillId="2" borderId="22" xfId="1" applyNumberFormat="1" applyFont="1" applyFill="1" applyBorder="1" applyAlignment="1" applyProtection="1">
      <alignment horizontal="center"/>
      <protection locked="0"/>
    </xf>
    <xf numFmtId="42" fontId="6" fillId="0" borderId="0" xfId="0" applyNumberFormat="1" applyFont="1" applyFill="1" applyBorder="1" applyAlignment="1" applyProtection="1">
      <alignment horizontal="center"/>
      <protection locked="0"/>
    </xf>
    <xf numFmtId="42" fontId="6" fillId="0" borderId="0" xfId="0" applyNumberFormat="1" applyFont="1" applyFill="1" applyAlignment="1" applyProtection="1">
      <alignment horizontal="center"/>
      <protection locked="0"/>
    </xf>
    <xf numFmtId="195" fontId="2" fillId="0" borderId="22" xfId="1" applyNumberFormat="1" applyFont="1" applyFill="1" applyBorder="1" applyAlignment="1" applyProtection="1">
      <alignment horizontal="center"/>
    </xf>
    <xf numFmtId="0" fontId="14" fillId="2" borderId="22" xfId="0" applyFont="1" applyFill="1" applyBorder="1" applyAlignment="1" applyProtection="1">
      <alignment horizontal="left"/>
      <protection locked="0"/>
    </xf>
    <xf numFmtId="195" fontId="2" fillId="0" borderId="0" xfId="1" applyNumberFormat="1" applyFont="1"/>
    <xf numFmtId="37" fontId="2" fillId="0" borderId="0" xfId="0" applyNumberFormat="1" applyFont="1"/>
    <xf numFmtId="10" fontId="6" fillId="5" borderId="22" xfId="0" applyNumberFormat="1" applyFont="1" applyFill="1" applyBorder="1" applyAlignment="1">
      <alignment horizontal="right"/>
    </xf>
    <xf numFmtId="42" fontId="6" fillId="5" borderId="22" xfId="0" applyNumberFormat="1" applyFont="1" applyFill="1" applyBorder="1"/>
    <xf numFmtId="167" fontId="7" fillId="5" borderId="0" xfId="2" applyNumberFormat="1" applyFont="1" applyFill="1" applyBorder="1" applyProtection="1"/>
    <xf numFmtId="42" fontId="2" fillId="6" borderId="22" xfId="0" applyNumberFormat="1" applyFont="1" applyFill="1" applyBorder="1" applyProtection="1">
      <protection locked="0"/>
    </xf>
    <xf numFmtId="42" fontId="2" fillId="6" borderId="0" xfId="0" applyNumberFormat="1" applyFont="1" applyFill="1" applyProtection="1">
      <protection locked="0"/>
    </xf>
    <xf numFmtId="0" fontId="2" fillId="7" borderId="0" xfId="0" applyFont="1" applyFill="1" applyProtection="1">
      <protection locked="0"/>
    </xf>
    <xf numFmtId="0" fontId="2" fillId="7" borderId="0" xfId="0" applyFont="1" applyFill="1"/>
    <xf numFmtId="37" fontId="2" fillId="7" borderId="0" xfId="0" applyNumberFormat="1" applyFont="1" applyFill="1" applyAlignment="1" applyProtection="1">
      <alignment horizontal="right"/>
    </xf>
    <xf numFmtId="3" fontId="2" fillId="7" borderId="0" xfId="0" applyNumberFormat="1" applyFont="1" applyFill="1"/>
    <xf numFmtId="3" fontId="2" fillId="7" borderId="0" xfId="0" applyNumberFormat="1" applyFont="1" applyFill="1" applyProtection="1"/>
    <xf numFmtId="42" fontId="2" fillId="8" borderId="0" xfId="0" applyNumberFormat="1" applyFont="1" applyFill="1" applyProtection="1">
      <protection locked="0"/>
    </xf>
    <xf numFmtId="195" fontId="2" fillId="6" borderId="0" xfId="1" applyNumberFormat="1" applyFont="1" applyFill="1" applyProtection="1">
      <protection locked="0"/>
    </xf>
    <xf numFmtId="167" fontId="2" fillId="0" borderId="0" xfId="2" applyNumberFormat="1" applyFont="1" applyBorder="1"/>
    <xf numFmtId="167" fontId="2" fillId="2" borderId="0" xfId="2" applyNumberFormat="1" applyFont="1" applyFill="1" applyAlignment="1">
      <alignment horizontal="center"/>
    </xf>
    <xf numFmtId="10" fontId="2" fillId="2" borderId="0" xfId="0" applyNumberFormat="1" applyFont="1" applyFill="1" applyProtection="1">
      <protection locked="0"/>
    </xf>
    <xf numFmtId="0" fontId="10" fillId="0" borderId="16" xfId="0" applyFont="1" applyBorder="1" applyAlignment="1">
      <alignment horizontal="center"/>
    </xf>
    <xf numFmtId="9" fontId="0" fillId="0" borderId="31" xfId="3" applyFont="1" applyBorder="1" applyAlignment="1">
      <alignment horizontal="center"/>
    </xf>
    <xf numFmtId="9" fontId="0" fillId="0" borderId="2" xfId="3" applyFont="1" applyBorder="1" applyAlignment="1">
      <alignment horizontal="center"/>
    </xf>
    <xf numFmtId="0" fontId="5" fillId="0" borderId="16" xfId="0" applyFont="1" applyBorder="1"/>
    <xf numFmtId="42" fontId="9" fillId="0" borderId="31" xfId="0" applyNumberFormat="1" applyFont="1" applyBorder="1"/>
    <xf numFmtId="42" fontId="9" fillId="0" borderId="2" xfId="0" applyNumberFormat="1" applyFont="1" applyBorder="1"/>
    <xf numFmtId="192" fontId="0" fillId="0" borderId="0" xfId="3" applyNumberFormat="1" applyFont="1" applyBorder="1"/>
    <xf numFmtId="42" fontId="0" fillId="0" borderId="31" xfId="0" applyNumberFormat="1" applyBorder="1"/>
    <xf numFmtId="42" fontId="0" fillId="0" borderId="2" xfId="0" applyNumberFormat="1" applyBorder="1"/>
    <xf numFmtId="42" fontId="9" fillId="0" borderId="16" xfId="0" applyNumberFormat="1" applyFont="1" applyBorder="1"/>
    <xf numFmtId="6" fontId="13" fillId="0" borderId="31" xfId="2" applyNumberFormat="1" applyFont="1" applyBorder="1" applyProtection="1"/>
    <xf numFmtId="6" fontId="13" fillId="0" borderId="2" xfId="2" applyNumberFormat="1" applyFont="1" applyBorder="1" applyProtection="1"/>
    <xf numFmtId="195" fontId="6" fillId="0" borderId="0" xfId="1" applyNumberFormat="1" applyFont="1" applyBorder="1"/>
    <xf numFmtId="10" fontId="13" fillId="0" borderId="31" xfId="0" applyNumberFormat="1" applyFont="1" applyBorder="1" applyProtection="1"/>
    <xf numFmtId="10" fontId="0" fillId="0" borderId="31" xfId="3" applyNumberFormat="1" applyFont="1" applyBorder="1"/>
    <xf numFmtId="10" fontId="13" fillId="0" borderId="2" xfId="0" applyNumberFormat="1" applyFont="1" applyBorder="1" applyProtection="1"/>
    <xf numFmtId="0" fontId="6" fillId="0" borderId="0" xfId="0" applyFont="1" applyAlignment="1">
      <alignment horizontal="left"/>
    </xf>
    <xf numFmtId="167" fontId="2" fillId="0" borderId="0" xfId="0" applyNumberFormat="1" applyFont="1"/>
    <xf numFmtId="0" fontId="6" fillId="0" borderId="14" xfId="0" applyFont="1" applyBorder="1"/>
    <xf numFmtId="167" fontId="2" fillId="0" borderId="0" xfId="2" applyNumberFormat="1" applyFont="1"/>
    <xf numFmtId="42" fontId="2" fillId="0" borderId="18" xfId="0" applyNumberFormat="1" applyFont="1" applyBorder="1"/>
    <xf numFmtId="6" fontId="2" fillId="0" borderId="0" xfId="0" applyNumberFormat="1" applyFont="1"/>
    <xf numFmtId="8" fontId="2" fillId="0" borderId="0" xfId="0" applyNumberFormat="1" applyFont="1"/>
    <xf numFmtId="9" fontId="2" fillId="0" borderId="0" xfId="0" applyNumberFormat="1" applyFont="1"/>
    <xf numFmtId="42" fontId="2" fillId="0" borderId="0" xfId="0" applyNumberFormat="1" applyFont="1" applyBorder="1"/>
    <xf numFmtId="10" fontId="2" fillId="0" borderId="0" xfId="0" applyNumberFormat="1" applyFont="1" applyProtection="1">
      <protection locked="0"/>
    </xf>
    <xf numFmtId="167" fontId="2" fillId="0" borderId="0" xfId="2" applyNumberFormat="1" applyFont="1" applyProtection="1"/>
    <xf numFmtId="167" fontId="2" fillId="0" borderId="1" xfId="2" applyNumberFormat="1" applyFont="1" applyBorder="1" applyProtection="1"/>
    <xf numFmtId="192" fontId="6" fillId="0" borderId="0" xfId="0" applyNumberFormat="1" applyFont="1" applyFill="1" applyProtection="1"/>
    <xf numFmtId="200" fontId="6" fillId="0" borderId="0" xfId="0" applyNumberFormat="1" applyFont="1" applyFill="1" applyAlignment="1" applyProtection="1">
      <alignment horizontal="right"/>
    </xf>
    <xf numFmtId="0" fontId="6" fillId="0" borderId="0" xfId="0" applyFont="1" applyBorder="1" applyAlignment="1">
      <alignment horizontal="left"/>
    </xf>
    <xf numFmtId="10" fontId="6" fillId="0" borderId="0" xfId="0" applyNumberFormat="1" applyFont="1" applyBorder="1" applyAlignment="1">
      <alignment horizontal="center"/>
    </xf>
    <xf numFmtId="0" fontId="6" fillId="0" borderId="22" xfId="0" applyFont="1" applyBorder="1" applyAlignment="1">
      <alignment horizontal="left"/>
    </xf>
    <xf numFmtId="0" fontId="6" fillId="0" borderId="21" xfId="0" applyFont="1" applyBorder="1" applyAlignment="1">
      <alignment horizontal="left"/>
    </xf>
    <xf numFmtId="10" fontId="6" fillId="0" borderId="29" xfId="0" applyNumberFormat="1" applyFont="1" applyBorder="1" applyAlignment="1">
      <alignment horizontal="center"/>
    </xf>
    <xf numFmtId="0" fontId="6" fillId="0" borderId="23" xfId="0" applyFont="1" applyBorder="1"/>
    <xf numFmtId="0" fontId="6" fillId="0" borderId="21" xfId="0" applyFont="1" applyBorder="1"/>
    <xf numFmtId="167" fontId="6" fillId="0" borderId="30" xfId="2" applyNumberFormat="1" applyFont="1" applyBorder="1"/>
    <xf numFmtId="167" fontId="3" fillId="0" borderId="0" xfId="2" applyNumberFormat="1" applyFont="1"/>
    <xf numFmtId="6" fontId="3" fillId="0" borderId="0" xfId="0" applyNumberFormat="1" applyFont="1"/>
    <xf numFmtId="6" fontId="3" fillId="0" borderId="0" xfId="0" applyNumberFormat="1" applyFont="1" applyBorder="1"/>
    <xf numFmtId="0" fontId="6" fillId="0" borderId="32" xfId="0" applyFont="1" applyBorder="1"/>
    <xf numFmtId="167" fontId="2" fillId="0" borderId="32" xfId="2" applyNumberFormat="1" applyFont="1" applyBorder="1"/>
    <xf numFmtId="167" fontId="2" fillId="0" borderId="32" xfId="0" applyNumberFormat="1" applyFont="1" applyBorder="1"/>
    <xf numFmtId="167" fontId="2" fillId="0" borderId="18" xfId="0" applyNumberFormat="1" applyFont="1" applyBorder="1"/>
    <xf numFmtId="0" fontId="6" fillId="0" borderId="33" xfId="0" applyFont="1" applyBorder="1"/>
    <xf numFmtId="0" fontId="3" fillId="0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42" fontId="3" fillId="0" borderId="0" xfId="0" applyNumberFormat="1" applyFont="1" applyFill="1" applyAlignment="1">
      <alignment horizontal="center"/>
    </xf>
    <xf numFmtId="167" fontId="5" fillId="0" borderId="22" xfId="2" applyNumberFormat="1" applyFont="1" applyBorder="1" applyProtection="1"/>
    <xf numFmtId="167" fontId="6" fillId="0" borderId="22" xfId="0" applyNumberFormat="1" applyFont="1" applyBorder="1"/>
    <xf numFmtId="42" fontId="6" fillId="0" borderId="0" xfId="0" applyNumberFormat="1" applyFont="1"/>
    <xf numFmtId="9" fontId="6" fillId="0" borderId="22" xfId="3" applyFont="1" applyFill="1" applyBorder="1" applyAlignment="1">
      <alignment horizontal="center"/>
    </xf>
    <xf numFmtId="167" fontId="6" fillId="0" borderId="29" xfId="2" applyNumberFormat="1" applyFont="1" applyBorder="1" applyAlignment="1">
      <alignment horizontal="center"/>
    </xf>
    <xf numFmtId="42" fontId="6" fillId="0" borderId="16" xfId="0" applyNumberFormat="1" applyFont="1" applyBorder="1"/>
    <xf numFmtId="42" fontId="2" fillId="0" borderId="0" xfId="2" applyNumberFormat="1" applyFont="1"/>
    <xf numFmtId="167" fontId="2" fillId="0" borderId="0" xfId="2" applyNumberFormat="1" applyFont="1" applyBorder="1" applyAlignment="1">
      <alignment horizontal="center"/>
    </xf>
    <xf numFmtId="167" fontId="2" fillId="0" borderId="18" xfId="2" applyNumberFormat="1" applyFont="1" applyBorder="1" applyAlignment="1">
      <alignment horizontal="center"/>
    </xf>
    <xf numFmtId="10" fontId="6" fillId="0" borderId="22" xfId="3" applyNumberFormat="1" applyFont="1" applyFill="1" applyBorder="1"/>
    <xf numFmtId="0" fontId="2" fillId="9" borderId="0" xfId="0" applyFont="1" applyFill="1" applyBorder="1"/>
    <xf numFmtId="167" fontId="2" fillId="0" borderId="0" xfId="0" applyNumberFormat="1" applyFont="1" applyBorder="1"/>
    <xf numFmtId="37" fontId="2" fillId="0" borderId="0" xfId="0" applyNumberFormat="1" applyFont="1" applyBorder="1"/>
    <xf numFmtId="167" fontId="6" fillId="0" borderId="0" xfId="0" applyNumberFormat="1" applyFont="1" applyBorder="1"/>
    <xf numFmtId="0" fontId="6" fillId="0" borderId="4" xfId="0" applyFont="1" applyBorder="1" applyAlignment="1">
      <alignment horizontal="left"/>
    </xf>
    <xf numFmtId="0" fontId="3" fillId="9" borderId="22" xfId="0" applyFont="1" applyFill="1" applyBorder="1" applyAlignment="1">
      <alignment horizontal="center"/>
    </xf>
    <xf numFmtId="167" fontId="6" fillId="0" borderId="18" xfId="0" applyNumberFormat="1" applyFont="1" applyBorder="1"/>
    <xf numFmtId="167" fontId="3" fillId="0" borderId="0" xfId="0" applyNumberFormat="1" applyFont="1"/>
    <xf numFmtId="0" fontId="3" fillId="9" borderId="25" xfId="0" applyFont="1" applyFill="1" applyBorder="1" applyAlignment="1">
      <alignment horizontal="center"/>
    </xf>
    <xf numFmtId="167" fontId="3" fillId="0" borderId="0" xfId="2" applyNumberFormat="1" applyFont="1" applyFill="1" applyBorder="1"/>
    <xf numFmtId="10" fontId="6" fillId="0" borderId="33" xfId="0" applyNumberFormat="1" applyFont="1" applyBorder="1" applyAlignment="1">
      <alignment horizontal="center"/>
    </xf>
    <xf numFmtId="0" fontId="6" fillId="0" borderId="19" xfId="0" applyFont="1" applyBorder="1"/>
    <xf numFmtId="3" fontId="6" fillId="0" borderId="29" xfId="1" applyNumberFormat="1" applyFont="1" applyFill="1" applyBorder="1" applyAlignment="1">
      <alignment horizontal="center"/>
    </xf>
    <xf numFmtId="167" fontId="6" fillId="0" borderId="28" xfId="2" applyNumberFormat="1" applyFont="1" applyBorder="1"/>
    <xf numFmtId="167" fontId="6" fillId="0" borderId="29" xfId="2" applyNumberFormat="1" applyFont="1" applyFill="1" applyBorder="1" applyAlignment="1">
      <alignment horizontal="center"/>
    </xf>
    <xf numFmtId="0" fontId="6" fillId="9" borderId="0" xfId="0" applyFont="1" applyFill="1" applyAlignment="1">
      <alignment horizontal="left"/>
    </xf>
    <xf numFmtId="0" fontId="6" fillId="9" borderId="0" xfId="0" applyFont="1" applyFill="1" applyBorder="1"/>
    <xf numFmtId="0" fontId="2" fillId="9" borderId="22" xfId="0" applyFont="1" applyFill="1" applyBorder="1" applyAlignment="1">
      <alignment horizontal="center"/>
    </xf>
    <xf numFmtId="6" fontId="2" fillId="0" borderId="18" xfId="0" applyNumberFormat="1" applyFont="1" applyBorder="1"/>
    <xf numFmtId="167" fontId="6" fillId="0" borderId="0" xfId="0" applyNumberFormat="1" applyFont="1"/>
    <xf numFmtId="0" fontId="6" fillId="0" borderId="8" xfId="0" applyFont="1" applyBorder="1"/>
    <xf numFmtId="0" fontId="2" fillId="0" borderId="9" xfId="0" applyFont="1" applyBorder="1"/>
    <xf numFmtId="10" fontId="6" fillId="0" borderId="28" xfId="3" applyNumberFormat="1" applyFont="1" applyFill="1" applyBorder="1" applyAlignment="1">
      <alignment horizontal="left"/>
    </xf>
    <xf numFmtId="0" fontId="2" fillId="0" borderId="11" xfId="0" applyFont="1" applyBorder="1"/>
    <xf numFmtId="0" fontId="2" fillId="0" borderId="12" xfId="0" applyFont="1" applyBorder="1"/>
    <xf numFmtId="0" fontId="6" fillId="0" borderId="13" xfId="0" applyFont="1" applyBorder="1"/>
    <xf numFmtId="10" fontId="2" fillId="0" borderId="0" xfId="0" applyNumberFormat="1" applyFont="1"/>
    <xf numFmtId="10" fontId="6" fillId="0" borderId="14" xfId="0" applyNumberFormat="1" applyFont="1" applyBorder="1" applyAlignment="1">
      <alignment horizontal="left"/>
    </xf>
    <xf numFmtId="0" fontId="6" fillId="0" borderId="4" xfId="0" applyFont="1" applyBorder="1"/>
    <xf numFmtId="0" fontId="6" fillId="9" borderId="22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6" fillId="0" borderId="34" xfId="0" applyFont="1" applyBorder="1" applyAlignment="1">
      <alignment horizontal="center"/>
    </xf>
    <xf numFmtId="167" fontId="2" fillId="0" borderId="35" xfId="0" applyNumberFormat="1" applyFont="1" applyBorder="1"/>
    <xf numFmtId="6" fontId="2" fillId="0" borderId="35" xfId="0" applyNumberFormat="1" applyFont="1" applyBorder="1"/>
    <xf numFmtId="6" fontId="2" fillId="0" borderId="36" xfId="0" applyNumberFormat="1" applyFont="1" applyBorder="1"/>
    <xf numFmtId="167" fontId="3" fillId="0" borderId="0" xfId="2" applyNumberFormat="1" applyFont="1" applyBorder="1"/>
    <xf numFmtId="167" fontId="3" fillId="0" borderId="32" xfId="2" applyNumberFormat="1" applyFont="1" applyBorder="1"/>
    <xf numFmtId="167" fontId="3" fillId="0" borderId="32" xfId="0" applyNumberFormat="1" applyFont="1" applyBorder="1"/>
    <xf numFmtId="167" fontId="3" fillId="0" borderId="37" xfId="2" applyNumberFormat="1" applyFont="1" applyBorder="1"/>
    <xf numFmtId="0" fontId="2" fillId="0" borderId="32" xfId="0" applyFont="1" applyBorder="1"/>
    <xf numFmtId="44" fontId="2" fillId="0" borderId="0" xfId="2" applyFont="1"/>
    <xf numFmtId="0" fontId="6" fillId="0" borderId="4" xfId="0" applyFont="1" applyBorder="1" applyAlignment="1" applyProtection="1">
      <alignment horizontal="center"/>
    </xf>
    <xf numFmtId="0" fontId="6" fillId="0" borderId="5" xfId="0" quotePrefix="1" applyFont="1" applyBorder="1" applyAlignment="1" applyProtection="1">
      <alignment horizontal="center"/>
    </xf>
    <xf numFmtId="0" fontId="6" fillId="0" borderId="6" xfId="0" quotePrefix="1" applyFont="1" applyBorder="1" applyAlignment="1" applyProtection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87"/>
  <sheetViews>
    <sheetView topLeftCell="A49" zoomScale="75" workbookViewId="0">
      <selection activeCell="D76" sqref="D76"/>
    </sheetView>
  </sheetViews>
  <sheetFormatPr defaultColWidth="9.109375" defaultRowHeight="10.199999999999999"/>
  <cols>
    <col min="1" max="1" width="7" style="1" customWidth="1"/>
    <col min="2" max="2" width="23.5546875" style="1" customWidth="1"/>
    <col min="3" max="3" width="21.44140625" style="1" customWidth="1"/>
    <col min="4" max="4" width="12.6640625" style="1" customWidth="1"/>
    <col min="5" max="5" width="15.6640625" style="1" customWidth="1"/>
    <col min="6" max="6" width="11.33203125" style="1" customWidth="1"/>
    <col min="7" max="7" width="11.5546875" style="1" customWidth="1"/>
    <col min="8" max="8" width="13.33203125" style="1" customWidth="1"/>
    <col min="9" max="9" width="11.44140625" style="1" customWidth="1"/>
    <col min="10" max="10" width="11.33203125" style="1" customWidth="1"/>
    <col min="11" max="11" width="13.109375" style="1" customWidth="1"/>
    <col min="12" max="12" width="12" style="1" customWidth="1"/>
    <col min="13" max="13" width="11.88671875" style="1" customWidth="1"/>
    <col min="14" max="16384" width="9.109375" style="1"/>
  </cols>
  <sheetData>
    <row r="1" spans="1:23">
      <c r="B1" s="44" t="s">
        <v>186</v>
      </c>
      <c r="C1" s="163" t="s">
        <v>246</v>
      </c>
      <c r="D1" s="114"/>
      <c r="E1" s="2"/>
      <c r="F1" s="2"/>
      <c r="G1" s="2"/>
    </row>
    <row r="3" spans="1:23">
      <c r="A3" s="48"/>
      <c r="B3" s="51"/>
      <c r="D3" s="67">
        <v>1</v>
      </c>
      <c r="E3" s="67">
        <v>2</v>
      </c>
      <c r="F3" s="67">
        <v>3</v>
      </c>
      <c r="G3" s="67">
        <v>4</v>
      </c>
      <c r="H3" s="67">
        <v>5</v>
      </c>
      <c r="I3" s="67">
        <v>6</v>
      </c>
      <c r="J3" s="67">
        <v>7</v>
      </c>
      <c r="K3" s="67">
        <v>8</v>
      </c>
      <c r="L3" s="67">
        <v>9</v>
      </c>
      <c r="M3" s="67">
        <v>10</v>
      </c>
      <c r="N3" s="67">
        <v>11</v>
      </c>
      <c r="O3" s="67">
        <v>12</v>
      </c>
      <c r="P3" s="67">
        <v>13</v>
      </c>
      <c r="Q3" s="67">
        <v>14</v>
      </c>
      <c r="R3" s="67">
        <v>15</v>
      </c>
      <c r="S3" s="67">
        <v>16</v>
      </c>
      <c r="T3" s="67">
        <v>17</v>
      </c>
      <c r="U3" s="67">
        <v>18</v>
      </c>
      <c r="V3" s="67">
        <v>19</v>
      </c>
      <c r="W3" s="67">
        <v>20</v>
      </c>
    </row>
    <row r="4" spans="1:23">
      <c r="A4" s="48"/>
      <c r="B4" s="51"/>
      <c r="C4" s="164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T4" s="67"/>
      <c r="V4" s="67"/>
    </row>
    <row r="5" spans="1:23">
      <c r="A5" s="48" t="s">
        <v>138</v>
      </c>
      <c r="B5" s="51"/>
      <c r="C5" s="198">
        <v>0.8</v>
      </c>
      <c r="D5" s="197">
        <f>16390042-5928851</f>
        <v>10461191</v>
      </c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T5" s="67"/>
      <c r="V5" s="67"/>
    </row>
    <row r="6" spans="1:23">
      <c r="A6" s="48" t="s">
        <v>179</v>
      </c>
      <c r="B6" s="51"/>
      <c r="C6" s="70">
        <f>SUM(D6:M6)</f>
        <v>0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  <c r="W6" s="165"/>
    </row>
    <row r="7" spans="1:23">
      <c r="A7" s="48" t="s">
        <v>19</v>
      </c>
      <c r="B7" s="51"/>
      <c r="C7" s="166">
        <v>0</v>
      </c>
      <c r="D7" s="123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T7" s="67"/>
      <c r="V7" s="67"/>
    </row>
    <row r="8" spans="1:23">
      <c r="A8" s="48" t="s">
        <v>176</v>
      </c>
      <c r="B8" s="51"/>
      <c r="C8" s="186">
        <f>+C7*1.304</f>
        <v>0</v>
      </c>
    </row>
    <row r="9" spans="1:23">
      <c r="A9" s="46" t="s">
        <v>85</v>
      </c>
      <c r="C9" s="130">
        <f>+Summary!B15</f>
        <v>0.39</v>
      </c>
    </row>
    <row r="10" spans="1:23">
      <c r="A10" s="46" t="s">
        <v>88</v>
      </c>
      <c r="C10" s="47">
        <v>0.01</v>
      </c>
    </row>
    <row r="11" spans="1:23">
      <c r="A11" s="46"/>
      <c r="C11" s="102"/>
    </row>
    <row r="12" spans="1:23">
      <c r="A12" s="46" t="s">
        <v>175</v>
      </c>
      <c r="C12" s="184">
        <f>+Model!B66</f>
        <v>8.2168991853144621E-2</v>
      </c>
    </row>
    <row r="13" spans="1:23">
      <c r="A13" s="46" t="s">
        <v>178</v>
      </c>
      <c r="B13" s="162">
        <v>9.5000000000000001E-2</v>
      </c>
      <c r="C13" s="185">
        <f>+Model!C68</f>
        <v>-32762.923093100311</v>
      </c>
      <c r="G13" s="3"/>
    </row>
    <row r="14" spans="1:23">
      <c r="A14" s="46"/>
      <c r="C14" s="102"/>
    </row>
    <row r="15" spans="1:23">
      <c r="A15" s="44" t="s">
        <v>80</v>
      </c>
      <c r="F15" s="4"/>
      <c r="G15" s="4"/>
      <c r="H15" s="4"/>
      <c r="I15" s="4"/>
      <c r="M15" s="4"/>
      <c r="O15" s="4"/>
      <c r="Q15" s="4"/>
      <c r="S15" s="4"/>
      <c r="U15" s="4"/>
      <c r="W15" s="4"/>
    </row>
    <row r="16" spans="1:23">
      <c r="B16" s="1" t="s">
        <v>81</v>
      </c>
      <c r="C16" s="172">
        <f>+Summary!C17</f>
        <v>0.9</v>
      </c>
      <c r="S16" s="45"/>
      <c r="U16" s="45"/>
      <c r="W16" s="45"/>
    </row>
    <row r="17" spans="1:23">
      <c r="B17" s="1" t="s">
        <v>152</v>
      </c>
      <c r="C17" s="172">
        <f>+Summary!C23</f>
        <v>7.3200000000000001E-2</v>
      </c>
      <c r="S17" s="45"/>
      <c r="U17" s="45"/>
      <c r="W17" s="45"/>
    </row>
    <row r="18" spans="1:23">
      <c r="C18" s="176"/>
      <c r="S18" s="45"/>
      <c r="U18" s="45"/>
      <c r="W18" s="45"/>
    </row>
    <row r="19" spans="1:23">
      <c r="A19" s="44" t="s">
        <v>111</v>
      </c>
      <c r="C19" s="3"/>
      <c r="D19" s="68" t="s">
        <v>101</v>
      </c>
      <c r="E19" s="68" t="s">
        <v>102</v>
      </c>
      <c r="F19" s="68" t="s">
        <v>103</v>
      </c>
      <c r="G19" s="68" t="s">
        <v>104</v>
      </c>
      <c r="H19" s="68" t="s">
        <v>105</v>
      </c>
      <c r="I19" s="68" t="s">
        <v>106</v>
      </c>
      <c r="J19" s="68" t="s">
        <v>107</v>
      </c>
      <c r="K19" s="68" t="s">
        <v>108</v>
      </c>
      <c r="L19" s="68" t="s">
        <v>109</v>
      </c>
      <c r="M19" s="68" t="s">
        <v>110</v>
      </c>
      <c r="N19" s="68" t="s">
        <v>147</v>
      </c>
      <c r="O19" s="68" t="s">
        <v>148</v>
      </c>
      <c r="P19" s="68" t="s">
        <v>149</v>
      </c>
      <c r="Q19" s="68" t="s">
        <v>150</v>
      </c>
      <c r="R19" s="68" t="s">
        <v>151</v>
      </c>
      <c r="S19" s="68" t="s">
        <v>154</v>
      </c>
      <c r="T19" s="68" t="s">
        <v>155</v>
      </c>
      <c r="U19" s="68" t="s">
        <v>156</v>
      </c>
      <c r="V19" s="68" t="s">
        <v>157</v>
      </c>
      <c r="W19" s="68" t="s">
        <v>158</v>
      </c>
    </row>
    <row r="20" spans="1:23">
      <c r="B20" s="1" t="s">
        <v>1</v>
      </c>
      <c r="C20" s="170"/>
    </row>
    <row r="21" spans="1:23">
      <c r="B21" s="1" t="s">
        <v>0</v>
      </c>
      <c r="C21" s="70">
        <f>SUM(D21:M21)</f>
        <v>14800000</v>
      </c>
      <c r="D21" s="187">
        <f>+Summary!B7</f>
        <v>14800000</v>
      </c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</row>
    <row r="22" spans="1:23">
      <c r="C22" s="70"/>
      <c r="D22" s="175"/>
      <c r="E22" s="175"/>
      <c r="F22" s="175"/>
      <c r="G22" s="175"/>
      <c r="H22" s="175"/>
      <c r="I22" s="175"/>
      <c r="J22" s="175"/>
      <c r="K22" s="175"/>
      <c r="L22" s="175"/>
      <c r="M22" s="175"/>
      <c r="N22" s="175"/>
      <c r="O22" s="175"/>
      <c r="P22" s="175"/>
      <c r="Q22" s="175"/>
      <c r="R22" s="175"/>
      <c r="S22" s="175"/>
      <c r="T22" s="175"/>
      <c r="U22" s="175"/>
      <c r="V22" s="175"/>
      <c r="W22" s="175"/>
    </row>
    <row r="23" spans="1:23">
      <c r="A23" s="44" t="s">
        <v>199</v>
      </c>
      <c r="C23" s="70"/>
      <c r="D23" s="175"/>
      <c r="E23" s="175"/>
      <c r="F23" s="175"/>
      <c r="G23" s="175"/>
      <c r="H23" s="175"/>
      <c r="I23" s="175"/>
      <c r="J23" s="175"/>
      <c r="K23" s="175"/>
      <c r="L23" s="175"/>
      <c r="M23" s="175"/>
      <c r="N23" s="175"/>
      <c r="O23" s="175"/>
      <c r="P23" s="175"/>
      <c r="Q23" s="175"/>
      <c r="R23" s="175"/>
      <c r="S23" s="175"/>
      <c r="T23" s="175"/>
      <c r="U23" s="175"/>
      <c r="V23" s="175"/>
      <c r="W23" s="175"/>
    </row>
    <row r="24" spans="1:23">
      <c r="B24" s="1" t="s">
        <v>200</v>
      </c>
      <c r="C24" s="195">
        <f>+Summary!C22</f>
        <v>7</v>
      </c>
      <c r="D24" s="175"/>
      <c r="E24" s="175"/>
      <c r="F24" s="175"/>
      <c r="G24" s="175"/>
      <c r="H24" s="175"/>
      <c r="I24" s="175"/>
      <c r="J24" s="175"/>
      <c r="K24" s="175"/>
      <c r="L24" s="175"/>
      <c r="M24" s="175"/>
      <c r="N24" s="175"/>
      <c r="O24" s="175"/>
      <c r="P24" s="175"/>
      <c r="Q24" s="175"/>
      <c r="R24" s="175"/>
      <c r="S24" s="175"/>
      <c r="T24" s="175"/>
      <c r="U24" s="175"/>
      <c r="V24" s="175"/>
      <c r="W24" s="175"/>
    </row>
    <row r="25" spans="1:23">
      <c r="B25" s="1" t="s">
        <v>201</v>
      </c>
      <c r="C25" s="70">
        <f>SUM(D25:W25)</f>
        <v>20418890.465368267</v>
      </c>
      <c r="D25" s="188">
        <f>+Summary!D33</f>
        <v>2930137.2749999999</v>
      </c>
      <c r="E25" s="188">
        <f>+Summary!E33</f>
        <v>2924512.5877499999</v>
      </c>
      <c r="F25" s="188">
        <f>+Summary!F33</f>
        <v>2917753.3443825003</v>
      </c>
      <c r="G25" s="188">
        <f>+Summary!G33</f>
        <v>2913066.9834639751</v>
      </c>
      <c r="H25" s="188">
        <f>+Summary!H33</f>
        <v>2910642.4122178946</v>
      </c>
      <c r="I25" s="188">
        <f>+Summary!I33</f>
        <v>2910490.2128344313</v>
      </c>
      <c r="J25" s="188">
        <f>+Summary!J33</f>
        <v>2912287.6497194646</v>
      </c>
      <c r="K25" s="188">
        <f>+Summary!K33</f>
        <v>0</v>
      </c>
      <c r="L25" s="188">
        <f>+Summary!L33</f>
        <v>0</v>
      </c>
      <c r="M25" s="188">
        <f>+Summary!K33</f>
        <v>0</v>
      </c>
      <c r="N25" s="188">
        <f>+Summary!L33</f>
        <v>0</v>
      </c>
      <c r="O25" s="188">
        <f>+Summary!M33</f>
        <v>0</v>
      </c>
      <c r="P25" s="188">
        <f>+Summary!N33</f>
        <v>0</v>
      </c>
      <c r="Q25" s="188">
        <f>+Summary!O33</f>
        <v>0</v>
      </c>
      <c r="R25" s="188">
        <f>+Summary!P33</f>
        <v>0</v>
      </c>
      <c r="S25" s="188">
        <f>+Summary!Q33</f>
        <v>0</v>
      </c>
      <c r="T25" s="188">
        <f>+Summary!R33</f>
        <v>0</v>
      </c>
      <c r="U25" s="188">
        <f>+Summary!S33</f>
        <v>0</v>
      </c>
      <c r="V25" s="188">
        <f>+Summary!T33</f>
        <v>0</v>
      </c>
      <c r="W25" s="188">
        <f>+Summary!U33</f>
        <v>0</v>
      </c>
    </row>
    <row r="26" spans="1:23">
      <c r="B26" s="1" t="s">
        <v>202</v>
      </c>
      <c r="C26" s="70">
        <f>SUM(D26:W26)</f>
        <v>0</v>
      </c>
      <c r="D26" s="188"/>
      <c r="E26" s="194">
        <f>IF($C$24-D3&gt;0,D26*(1+C74),0)</f>
        <v>0</v>
      </c>
      <c r="F26" s="194">
        <f t="shared" ref="F26:W26" si="0">IF($C$24-E3&gt;0,E26*(1+D72),0)</f>
        <v>0</v>
      </c>
      <c r="G26" s="194">
        <f t="shared" si="0"/>
        <v>0</v>
      </c>
      <c r="H26" s="194">
        <f t="shared" si="0"/>
        <v>0</v>
      </c>
      <c r="I26" s="194">
        <f t="shared" si="0"/>
        <v>0</v>
      </c>
      <c r="J26" s="194">
        <f t="shared" si="0"/>
        <v>0</v>
      </c>
      <c r="K26" s="194">
        <f t="shared" si="0"/>
        <v>0</v>
      </c>
      <c r="L26" s="194">
        <f t="shared" si="0"/>
        <v>0</v>
      </c>
      <c r="M26" s="194">
        <f t="shared" si="0"/>
        <v>0</v>
      </c>
      <c r="N26" s="194">
        <f t="shared" si="0"/>
        <v>0</v>
      </c>
      <c r="O26" s="194">
        <f t="shared" si="0"/>
        <v>0</v>
      </c>
      <c r="P26" s="194">
        <f t="shared" si="0"/>
        <v>0</v>
      </c>
      <c r="Q26" s="194">
        <f t="shared" si="0"/>
        <v>0</v>
      </c>
      <c r="R26" s="194">
        <f t="shared" si="0"/>
        <v>0</v>
      </c>
      <c r="S26" s="194">
        <f t="shared" si="0"/>
        <v>0</v>
      </c>
      <c r="T26" s="194">
        <f t="shared" si="0"/>
        <v>0</v>
      </c>
      <c r="U26" s="194">
        <f t="shared" si="0"/>
        <v>0</v>
      </c>
      <c r="V26" s="194">
        <f t="shared" si="0"/>
        <v>0</v>
      </c>
      <c r="W26" s="194">
        <f t="shared" si="0"/>
        <v>0</v>
      </c>
    </row>
    <row r="27" spans="1:23">
      <c r="C27" s="70"/>
      <c r="D27" s="175"/>
      <c r="E27" s="175"/>
      <c r="F27" s="175"/>
      <c r="G27" s="175"/>
      <c r="H27" s="175"/>
      <c r="I27" s="175"/>
      <c r="J27" s="175"/>
      <c r="K27" s="175"/>
      <c r="L27" s="175"/>
      <c r="M27" s="175"/>
      <c r="N27" s="175"/>
      <c r="O27" s="175"/>
      <c r="P27" s="175"/>
      <c r="Q27" s="175"/>
      <c r="R27" s="175"/>
      <c r="S27" s="175"/>
      <c r="T27" s="175"/>
      <c r="U27" s="175"/>
      <c r="V27" s="175"/>
      <c r="W27" s="175"/>
    </row>
    <row r="28" spans="1:23">
      <c r="C28" s="70"/>
      <c r="D28" s="175"/>
      <c r="E28" s="175"/>
      <c r="F28" s="175"/>
      <c r="G28" s="175"/>
      <c r="H28" s="175"/>
      <c r="I28" s="175"/>
      <c r="J28" s="175"/>
      <c r="K28" s="175"/>
      <c r="L28" s="175"/>
      <c r="M28" s="175"/>
      <c r="N28" s="175"/>
      <c r="O28" s="175"/>
      <c r="P28" s="175"/>
      <c r="Q28" s="175"/>
      <c r="R28" s="175"/>
      <c r="S28" s="175"/>
      <c r="T28" s="175"/>
      <c r="U28" s="175"/>
      <c r="V28" s="175"/>
      <c r="W28" s="175"/>
    </row>
    <row r="29" spans="1:23">
      <c r="C29" s="70"/>
      <c r="D29" s="175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  <c r="Q29" s="175"/>
      <c r="R29" s="175"/>
      <c r="S29" s="175"/>
      <c r="T29" s="175"/>
      <c r="U29" s="175"/>
      <c r="V29" s="175"/>
      <c r="W29" s="175"/>
    </row>
    <row r="30" spans="1:23">
      <c r="C30" s="70"/>
      <c r="D30" s="175"/>
      <c r="E30" s="175"/>
      <c r="F30" s="175"/>
      <c r="G30" s="175"/>
      <c r="H30" s="175"/>
      <c r="I30" s="175"/>
      <c r="J30" s="175"/>
      <c r="K30" s="175"/>
      <c r="L30" s="175"/>
      <c r="M30" s="175"/>
      <c r="N30" s="175"/>
      <c r="O30" s="175"/>
      <c r="P30" s="175"/>
      <c r="Q30" s="175"/>
      <c r="R30" s="175"/>
      <c r="S30" s="175"/>
      <c r="T30" s="175"/>
      <c r="U30" s="175"/>
      <c r="V30" s="175"/>
      <c r="W30" s="175"/>
    </row>
    <row r="31" spans="1:23">
      <c r="A31" s="44" t="s">
        <v>189</v>
      </c>
      <c r="C31" s="178" t="s">
        <v>167</v>
      </c>
      <c r="D31" s="179" t="s">
        <v>168</v>
      </c>
      <c r="E31" s="175"/>
      <c r="F31" s="175"/>
      <c r="G31" s="175"/>
      <c r="H31" s="175"/>
      <c r="I31" s="175"/>
      <c r="J31" s="175"/>
      <c r="K31" s="175"/>
      <c r="L31" s="175"/>
      <c r="M31" s="175"/>
      <c r="N31" s="175"/>
      <c r="O31" s="175"/>
      <c r="P31" s="175"/>
      <c r="Q31" s="175"/>
      <c r="R31" s="175"/>
      <c r="S31" s="175"/>
      <c r="T31" s="175"/>
      <c r="U31" s="175"/>
      <c r="V31" s="175"/>
      <c r="W31" s="175"/>
    </row>
    <row r="32" spans="1:23">
      <c r="A32" s="44"/>
      <c r="B32" s="1" t="s">
        <v>190</v>
      </c>
      <c r="C32" s="177">
        <v>7</v>
      </c>
      <c r="D32" s="177">
        <v>7</v>
      </c>
      <c r="E32" s="175"/>
      <c r="F32" s="175"/>
      <c r="G32" s="175"/>
      <c r="H32" s="175"/>
      <c r="I32" s="175"/>
      <c r="J32" s="175"/>
      <c r="K32" s="175"/>
      <c r="L32" s="175"/>
      <c r="M32" s="175"/>
      <c r="N32" s="175"/>
      <c r="O32" s="175"/>
      <c r="P32" s="175"/>
      <c r="Q32" s="175"/>
      <c r="R32" s="175"/>
      <c r="S32" s="175"/>
      <c r="T32" s="175"/>
      <c r="U32" s="175"/>
      <c r="V32" s="175"/>
      <c r="W32" s="175"/>
    </row>
    <row r="33" spans="1:32">
      <c r="A33" s="44"/>
      <c r="B33" s="1" t="s">
        <v>191</v>
      </c>
      <c r="C33" s="177"/>
      <c r="D33" s="177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75"/>
    </row>
    <row r="34" spans="1:32">
      <c r="A34" s="44"/>
      <c r="B34" s="1" t="s">
        <v>192</v>
      </c>
      <c r="C34" s="177"/>
      <c r="D34" s="177"/>
      <c r="E34" s="175"/>
      <c r="F34" s="175"/>
      <c r="G34" s="175"/>
      <c r="H34" s="175"/>
      <c r="I34" s="175"/>
      <c r="J34" s="175"/>
      <c r="K34" s="175"/>
      <c r="L34" s="175"/>
      <c r="M34" s="175"/>
      <c r="N34" s="175"/>
      <c r="O34" s="175"/>
      <c r="P34" s="175"/>
      <c r="Q34" s="175"/>
      <c r="R34" s="175"/>
      <c r="S34" s="175"/>
      <c r="T34" s="175"/>
      <c r="U34" s="175"/>
      <c r="V34" s="175"/>
      <c r="W34" s="175"/>
    </row>
    <row r="35" spans="1:32">
      <c r="E35" s="182"/>
    </row>
    <row r="36" spans="1:32" ht="10.8" thickBot="1">
      <c r="C36" s="48" t="s">
        <v>83</v>
      </c>
      <c r="D36" s="51"/>
      <c r="E36" s="51"/>
      <c r="F36" s="45"/>
      <c r="G36" s="48" t="s">
        <v>82</v>
      </c>
      <c r="H36" s="49"/>
      <c r="I36" s="49"/>
    </row>
    <row r="37" spans="1:32">
      <c r="C37" s="52" t="s">
        <v>91</v>
      </c>
      <c r="D37" s="53"/>
      <c r="E37" s="54">
        <v>4.4980000000000002</v>
      </c>
      <c r="F37" s="53"/>
      <c r="G37" s="55" t="s">
        <v>84</v>
      </c>
      <c r="H37" s="53"/>
      <c r="I37" s="56">
        <v>2.5000000000000001E-2</v>
      </c>
    </row>
    <row r="38" spans="1:32">
      <c r="C38" s="57" t="s">
        <v>98</v>
      </c>
      <c r="D38" s="58"/>
      <c r="E38" s="50">
        <v>5.9969999999999999</v>
      </c>
      <c r="F38" s="51"/>
      <c r="G38" s="48" t="s">
        <v>86</v>
      </c>
      <c r="H38" s="51"/>
      <c r="I38" s="59">
        <v>2.5000000000000001E-2</v>
      </c>
    </row>
    <row r="39" spans="1:32">
      <c r="C39" s="57" t="s">
        <v>92</v>
      </c>
      <c r="D39" s="51"/>
      <c r="E39" s="50">
        <v>4.4980000000000002</v>
      </c>
      <c r="F39" s="51"/>
      <c r="G39" s="48" t="s">
        <v>87</v>
      </c>
      <c r="H39" s="51"/>
      <c r="I39" s="59">
        <v>2.5000000000000001E-2</v>
      </c>
    </row>
    <row r="40" spans="1:32">
      <c r="C40" s="57" t="s">
        <v>99</v>
      </c>
      <c r="D40" s="58"/>
      <c r="E40" s="50">
        <v>7.1966999999999999</v>
      </c>
      <c r="F40" s="51"/>
      <c r="G40" s="48" t="s">
        <v>89</v>
      </c>
      <c r="H40" s="51"/>
      <c r="I40" s="59">
        <v>2.5000000000000001E-2</v>
      </c>
    </row>
    <row r="41" spans="1:32">
      <c r="C41" s="60" t="s">
        <v>100</v>
      </c>
      <c r="D41" s="58"/>
      <c r="E41" s="50">
        <v>7.6212999999999997</v>
      </c>
      <c r="F41" s="51"/>
      <c r="G41" s="48"/>
      <c r="H41" s="51"/>
      <c r="I41" s="59"/>
    </row>
    <row r="42" spans="1:32">
      <c r="C42" s="60" t="s">
        <v>198</v>
      </c>
      <c r="D42" s="58"/>
      <c r="E42" s="50">
        <v>8.0960000000000001</v>
      </c>
      <c r="F42" s="51"/>
      <c r="G42" s="48" t="s">
        <v>95</v>
      </c>
      <c r="H42" s="51"/>
      <c r="I42" s="59">
        <v>0.2757</v>
      </c>
    </row>
    <row r="43" spans="1:32">
      <c r="C43" s="57" t="s">
        <v>93</v>
      </c>
      <c r="D43" s="51"/>
      <c r="E43" s="50">
        <v>11.994</v>
      </c>
      <c r="F43" s="58"/>
      <c r="G43" s="61" t="s">
        <v>96</v>
      </c>
      <c r="H43" s="58"/>
      <c r="I43" s="59">
        <v>0.41949999999999998</v>
      </c>
    </row>
    <row r="44" spans="1:32">
      <c r="C44" s="57" t="s">
        <v>94</v>
      </c>
      <c r="D44" s="49"/>
      <c r="E44" s="50">
        <v>10.975</v>
      </c>
      <c r="F44" s="58"/>
      <c r="G44" s="61" t="s">
        <v>97</v>
      </c>
      <c r="H44" s="58"/>
      <c r="I44" s="59">
        <v>0.17299999999999999</v>
      </c>
    </row>
    <row r="45" spans="1:32" ht="10.8" thickBot="1">
      <c r="C45" s="62" t="s">
        <v>90</v>
      </c>
      <c r="D45" s="63"/>
      <c r="E45" s="64">
        <v>5.8639999999999999</v>
      </c>
      <c r="F45" s="65"/>
      <c r="G45" s="65"/>
      <c r="H45" s="65"/>
      <c r="I45" s="66"/>
    </row>
    <row r="46" spans="1:32">
      <c r="D46" s="70"/>
      <c r="E46" s="175"/>
      <c r="F46" s="175"/>
      <c r="G46" s="175"/>
      <c r="H46" s="175"/>
      <c r="I46" s="175"/>
      <c r="J46" s="175"/>
      <c r="K46" s="175"/>
      <c r="L46" s="175"/>
      <c r="M46" s="175"/>
      <c r="N46" s="175"/>
      <c r="O46" s="175"/>
      <c r="P46" s="175"/>
      <c r="Q46" s="175"/>
      <c r="R46" s="175"/>
      <c r="S46" s="175"/>
      <c r="T46" s="175"/>
      <c r="U46" s="175"/>
      <c r="V46" s="175"/>
      <c r="W46" s="175"/>
    </row>
    <row r="47" spans="1:32">
      <c r="A47" s="44" t="s">
        <v>112</v>
      </c>
      <c r="C47" s="70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>
      <c r="A48" s="44" t="s">
        <v>193</v>
      </c>
      <c r="C48" s="152" t="s">
        <v>165</v>
      </c>
      <c r="D48" s="106" t="s">
        <v>2</v>
      </c>
      <c r="E48" s="151" t="s">
        <v>139</v>
      </c>
      <c r="F48" s="106" t="s">
        <v>166</v>
      </c>
      <c r="G48" s="106" t="s">
        <v>171</v>
      </c>
      <c r="H48" s="106" t="s">
        <v>172</v>
      </c>
      <c r="I48" s="150" t="s">
        <v>3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44">
      <c r="B49" s="1" t="s">
        <v>184</v>
      </c>
      <c r="C49" s="167"/>
      <c r="D49" s="168"/>
      <c r="E49" s="169"/>
      <c r="F49" s="170"/>
      <c r="G49" s="180">
        <f>+C32</f>
        <v>7</v>
      </c>
      <c r="H49" s="171"/>
      <c r="I49" s="172"/>
    </row>
    <row r="50" spans="1:44">
      <c r="B50" s="1" t="s">
        <v>185</v>
      </c>
      <c r="C50" s="181"/>
      <c r="D50" s="168"/>
      <c r="E50" s="169"/>
      <c r="F50" s="170"/>
      <c r="G50" s="180">
        <f>+D32</f>
        <v>7</v>
      </c>
      <c r="H50" s="171"/>
      <c r="I50" s="172"/>
    </row>
    <row r="51" spans="1:44">
      <c r="B51" s="1" t="s">
        <v>163</v>
      </c>
      <c r="C51" s="79"/>
      <c r="D51" s="79">
        <f t="shared" ref="D51:W51" si="1">IF($G$49-D3&lt;0,0,$H$49)</f>
        <v>0</v>
      </c>
      <c r="E51" s="79">
        <f t="shared" si="1"/>
        <v>0</v>
      </c>
      <c r="F51" s="79">
        <f t="shared" si="1"/>
        <v>0</v>
      </c>
      <c r="G51" s="79">
        <f t="shared" si="1"/>
        <v>0</v>
      </c>
      <c r="H51" s="79">
        <f t="shared" si="1"/>
        <v>0</v>
      </c>
      <c r="I51" s="79">
        <f t="shared" si="1"/>
        <v>0</v>
      </c>
      <c r="J51" s="79">
        <f t="shared" si="1"/>
        <v>0</v>
      </c>
      <c r="K51" s="79">
        <f t="shared" si="1"/>
        <v>0</v>
      </c>
      <c r="L51" s="79">
        <f t="shared" si="1"/>
        <v>0</v>
      </c>
      <c r="M51" s="79">
        <f t="shared" si="1"/>
        <v>0</v>
      </c>
      <c r="N51" s="79">
        <f t="shared" si="1"/>
        <v>0</v>
      </c>
      <c r="O51" s="79">
        <f t="shared" si="1"/>
        <v>0</v>
      </c>
      <c r="P51" s="79">
        <f t="shared" si="1"/>
        <v>0</v>
      </c>
      <c r="Q51" s="79">
        <f t="shared" si="1"/>
        <v>0</v>
      </c>
      <c r="R51" s="79">
        <f t="shared" si="1"/>
        <v>0</v>
      </c>
      <c r="S51" s="79">
        <f t="shared" si="1"/>
        <v>0</v>
      </c>
      <c r="T51" s="79">
        <f t="shared" si="1"/>
        <v>0</v>
      </c>
      <c r="U51" s="79">
        <f t="shared" si="1"/>
        <v>0</v>
      </c>
      <c r="V51" s="79">
        <f t="shared" si="1"/>
        <v>0</v>
      </c>
      <c r="W51" s="79">
        <f t="shared" si="1"/>
        <v>0</v>
      </c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spans="1:44">
      <c r="B52" s="1" t="s">
        <v>164</v>
      </c>
      <c r="C52" s="79"/>
      <c r="D52" s="79">
        <f t="shared" ref="D52:W52" si="2">IF($G$50-D3&lt;0,0,$H$50)</f>
        <v>0</v>
      </c>
      <c r="E52" s="79">
        <f t="shared" si="2"/>
        <v>0</v>
      </c>
      <c r="F52" s="79">
        <f t="shared" si="2"/>
        <v>0</v>
      </c>
      <c r="G52" s="79">
        <f t="shared" si="2"/>
        <v>0</v>
      </c>
      <c r="H52" s="79">
        <f t="shared" si="2"/>
        <v>0</v>
      </c>
      <c r="I52" s="79">
        <f t="shared" si="2"/>
        <v>0</v>
      </c>
      <c r="J52" s="79">
        <f t="shared" si="2"/>
        <v>0</v>
      </c>
      <c r="K52" s="79">
        <f t="shared" si="2"/>
        <v>0</v>
      </c>
      <c r="L52" s="79">
        <f t="shared" si="2"/>
        <v>0</v>
      </c>
      <c r="M52" s="79">
        <f t="shared" si="2"/>
        <v>0</v>
      </c>
      <c r="N52" s="79">
        <f t="shared" si="2"/>
        <v>0</v>
      </c>
      <c r="O52" s="79">
        <f t="shared" si="2"/>
        <v>0</v>
      </c>
      <c r="P52" s="79">
        <f t="shared" si="2"/>
        <v>0</v>
      </c>
      <c r="Q52" s="79">
        <f t="shared" si="2"/>
        <v>0</v>
      </c>
      <c r="R52" s="79">
        <f t="shared" si="2"/>
        <v>0</v>
      </c>
      <c r="S52" s="79">
        <f t="shared" si="2"/>
        <v>0</v>
      </c>
      <c r="T52" s="79">
        <f t="shared" si="2"/>
        <v>0</v>
      </c>
      <c r="U52" s="79">
        <f t="shared" si="2"/>
        <v>0</v>
      </c>
      <c r="V52" s="79">
        <f t="shared" si="2"/>
        <v>0</v>
      </c>
      <c r="W52" s="79">
        <f t="shared" si="2"/>
        <v>0</v>
      </c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spans="1:44">
      <c r="B53" s="1" t="s">
        <v>196</v>
      </c>
      <c r="C53" s="79"/>
      <c r="D53" s="79">
        <f>+D51*30.4*$F$49*$I$49</f>
        <v>0</v>
      </c>
      <c r="E53" s="79">
        <f t="shared" ref="E53:W53" si="3">+E51*30.4*$F$49*$I$49</f>
        <v>0</v>
      </c>
      <c r="F53" s="79">
        <f t="shared" si="3"/>
        <v>0</v>
      </c>
      <c r="G53" s="79">
        <f t="shared" si="3"/>
        <v>0</v>
      </c>
      <c r="H53" s="79">
        <f t="shared" si="3"/>
        <v>0</v>
      </c>
      <c r="I53" s="79">
        <f t="shared" si="3"/>
        <v>0</v>
      </c>
      <c r="J53" s="79">
        <f t="shared" si="3"/>
        <v>0</v>
      </c>
      <c r="K53" s="79">
        <f t="shared" si="3"/>
        <v>0</v>
      </c>
      <c r="L53" s="79">
        <f t="shared" si="3"/>
        <v>0</v>
      </c>
      <c r="M53" s="79">
        <f t="shared" si="3"/>
        <v>0</v>
      </c>
      <c r="N53" s="79">
        <f t="shared" si="3"/>
        <v>0</v>
      </c>
      <c r="O53" s="79">
        <f t="shared" si="3"/>
        <v>0</v>
      </c>
      <c r="P53" s="79">
        <f t="shared" si="3"/>
        <v>0</v>
      </c>
      <c r="Q53" s="79">
        <f t="shared" si="3"/>
        <v>0</v>
      </c>
      <c r="R53" s="79">
        <f t="shared" si="3"/>
        <v>0</v>
      </c>
      <c r="S53" s="79">
        <f t="shared" si="3"/>
        <v>0</v>
      </c>
      <c r="T53" s="79">
        <f t="shared" si="3"/>
        <v>0</v>
      </c>
      <c r="U53" s="79">
        <f t="shared" si="3"/>
        <v>0</v>
      </c>
      <c r="V53" s="79">
        <f t="shared" si="3"/>
        <v>0</v>
      </c>
      <c r="W53" s="79">
        <f t="shared" si="3"/>
        <v>0</v>
      </c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spans="1:44">
      <c r="B54" s="1" t="s">
        <v>197</v>
      </c>
      <c r="C54" s="79"/>
      <c r="D54" s="79">
        <f>+D52*30.4*$F$50*$I$50</f>
        <v>0</v>
      </c>
      <c r="E54" s="79">
        <f t="shared" ref="E54:W54" si="4">+E52*30.4*$F$50*$I$50</f>
        <v>0</v>
      </c>
      <c r="F54" s="79">
        <f t="shared" si="4"/>
        <v>0</v>
      </c>
      <c r="G54" s="79">
        <f t="shared" si="4"/>
        <v>0</v>
      </c>
      <c r="H54" s="79">
        <f t="shared" si="4"/>
        <v>0</v>
      </c>
      <c r="I54" s="79">
        <f t="shared" si="4"/>
        <v>0</v>
      </c>
      <c r="J54" s="79">
        <f t="shared" si="4"/>
        <v>0</v>
      </c>
      <c r="K54" s="79">
        <f t="shared" si="4"/>
        <v>0</v>
      </c>
      <c r="L54" s="79">
        <f t="shared" si="4"/>
        <v>0</v>
      </c>
      <c r="M54" s="79">
        <f t="shared" si="4"/>
        <v>0</v>
      </c>
      <c r="N54" s="79">
        <f t="shared" si="4"/>
        <v>0</v>
      </c>
      <c r="O54" s="79">
        <f t="shared" si="4"/>
        <v>0</v>
      </c>
      <c r="P54" s="79">
        <f t="shared" si="4"/>
        <v>0</v>
      </c>
      <c r="Q54" s="79">
        <f t="shared" si="4"/>
        <v>0</v>
      </c>
      <c r="R54" s="79">
        <f t="shared" si="4"/>
        <v>0</v>
      </c>
      <c r="S54" s="79">
        <f t="shared" si="4"/>
        <v>0</v>
      </c>
      <c r="T54" s="79">
        <f t="shared" si="4"/>
        <v>0</v>
      </c>
      <c r="U54" s="79">
        <f t="shared" si="4"/>
        <v>0</v>
      </c>
      <c r="V54" s="79">
        <f t="shared" si="4"/>
        <v>0</v>
      </c>
      <c r="W54" s="79">
        <f t="shared" si="4"/>
        <v>0</v>
      </c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spans="1:44"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spans="1:44">
      <c r="A56" s="44" t="s">
        <v>194</v>
      </c>
      <c r="C56" s="152" t="s">
        <v>165</v>
      </c>
      <c r="D56" s="106" t="s">
        <v>2</v>
      </c>
      <c r="E56" s="151" t="s">
        <v>139</v>
      </c>
      <c r="F56" s="106" t="s">
        <v>166</v>
      </c>
      <c r="G56" s="106" t="s">
        <v>171</v>
      </c>
      <c r="H56" s="106" t="s">
        <v>172</v>
      </c>
      <c r="I56" s="150" t="s">
        <v>3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44">
      <c r="B57" s="1" t="s">
        <v>184</v>
      </c>
      <c r="C57" s="167"/>
      <c r="D57" s="168"/>
      <c r="E57" s="169"/>
      <c r="F57" s="170"/>
      <c r="G57" s="180">
        <f>+C33</f>
        <v>0</v>
      </c>
      <c r="H57" s="171"/>
      <c r="I57" s="172"/>
    </row>
    <row r="58" spans="1:44">
      <c r="B58" s="1" t="s">
        <v>185</v>
      </c>
      <c r="C58" s="181"/>
      <c r="D58" s="168"/>
      <c r="E58" s="169"/>
      <c r="F58" s="170"/>
      <c r="G58" s="180">
        <f>+D33</f>
        <v>0</v>
      </c>
      <c r="H58" s="171"/>
      <c r="I58" s="172"/>
    </row>
    <row r="59" spans="1:44">
      <c r="B59" s="1" t="s">
        <v>163</v>
      </c>
      <c r="C59" s="79"/>
      <c r="D59" s="79">
        <f>IF($G$57-D3&lt;0,0,$H$57)</f>
        <v>0</v>
      </c>
      <c r="E59" s="79">
        <f t="shared" ref="E59:T59" si="5">IF($G$57-E3&lt;0,0,$H$57)</f>
        <v>0</v>
      </c>
      <c r="F59" s="79">
        <f t="shared" si="5"/>
        <v>0</v>
      </c>
      <c r="G59" s="79">
        <f t="shared" si="5"/>
        <v>0</v>
      </c>
      <c r="H59" s="79">
        <f t="shared" si="5"/>
        <v>0</v>
      </c>
      <c r="I59" s="79">
        <f t="shared" si="5"/>
        <v>0</v>
      </c>
      <c r="J59" s="79">
        <f t="shared" si="5"/>
        <v>0</v>
      </c>
      <c r="K59" s="79">
        <f t="shared" si="5"/>
        <v>0</v>
      </c>
      <c r="L59" s="79">
        <f t="shared" si="5"/>
        <v>0</v>
      </c>
      <c r="M59" s="79">
        <f t="shared" si="5"/>
        <v>0</v>
      </c>
      <c r="N59" s="79">
        <f t="shared" si="5"/>
        <v>0</v>
      </c>
      <c r="O59" s="79">
        <f t="shared" si="5"/>
        <v>0</v>
      </c>
      <c r="P59" s="79">
        <f t="shared" si="5"/>
        <v>0</v>
      </c>
      <c r="Q59" s="79">
        <f t="shared" si="5"/>
        <v>0</v>
      </c>
      <c r="R59" s="79">
        <f t="shared" si="5"/>
        <v>0</v>
      </c>
      <c r="S59" s="79">
        <f t="shared" si="5"/>
        <v>0</v>
      </c>
      <c r="T59" s="79">
        <f t="shared" si="5"/>
        <v>0</v>
      </c>
      <c r="U59" s="79">
        <f>IF($G$57-U3&lt;0,0,$H$49)</f>
        <v>0</v>
      </c>
      <c r="V59" s="79">
        <f>IF($G$57-V3&lt;0,0,$H$49)</f>
        <v>0</v>
      </c>
      <c r="W59" s="79">
        <f>IF($G$57-W3&lt;0,0,$H$49)</f>
        <v>0</v>
      </c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 spans="1:44">
      <c r="B60" s="1" t="s">
        <v>164</v>
      </c>
      <c r="C60" s="79"/>
      <c r="D60" s="79">
        <f>IF($G$58-D3&lt;0,0,$H$58)</f>
        <v>0</v>
      </c>
      <c r="E60" s="79">
        <f t="shared" ref="E60:T60" si="6">IF($G$58-E3&lt;0,0,$H$58)</f>
        <v>0</v>
      </c>
      <c r="F60" s="79">
        <f t="shared" si="6"/>
        <v>0</v>
      </c>
      <c r="G60" s="79">
        <f t="shared" si="6"/>
        <v>0</v>
      </c>
      <c r="H60" s="79">
        <f t="shared" si="6"/>
        <v>0</v>
      </c>
      <c r="I60" s="79">
        <f t="shared" si="6"/>
        <v>0</v>
      </c>
      <c r="J60" s="79">
        <f t="shared" si="6"/>
        <v>0</v>
      </c>
      <c r="K60" s="79">
        <f t="shared" si="6"/>
        <v>0</v>
      </c>
      <c r="L60" s="79">
        <f t="shared" si="6"/>
        <v>0</v>
      </c>
      <c r="M60" s="79">
        <f t="shared" si="6"/>
        <v>0</v>
      </c>
      <c r="N60" s="79">
        <f t="shared" si="6"/>
        <v>0</v>
      </c>
      <c r="O60" s="79">
        <f t="shared" si="6"/>
        <v>0</v>
      </c>
      <c r="P60" s="79">
        <f t="shared" si="6"/>
        <v>0</v>
      </c>
      <c r="Q60" s="79">
        <f t="shared" si="6"/>
        <v>0</v>
      </c>
      <c r="R60" s="79">
        <f t="shared" si="6"/>
        <v>0</v>
      </c>
      <c r="S60" s="79">
        <f t="shared" si="6"/>
        <v>0</v>
      </c>
      <c r="T60" s="79">
        <f t="shared" si="6"/>
        <v>0</v>
      </c>
      <c r="U60" s="79">
        <f>IF($G$58-U3&lt;0,0,$H$50)</f>
        <v>0</v>
      </c>
      <c r="V60" s="79">
        <f>IF($G$58-V3&lt;0,0,$H$50)</f>
        <v>0</v>
      </c>
      <c r="W60" s="79">
        <f>IF($G$58-W3&lt;0,0,$H$50)</f>
        <v>0</v>
      </c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 spans="1:44">
      <c r="B61" s="1" t="s">
        <v>196</v>
      </c>
      <c r="C61" s="79"/>
      <c r="D61" s="79">
        <f>+D59*30.4*$F$57*$I$57</f>
        <v>0</v>
      </c>
      <c r="E61" s="79">
        <f t="shared" ref="E61:W61" si="7">+E59*30.4*$F$57*$I$57</f>
        <v>0</v>
      </c>
      <c r="F61" s="79">
        <f t="shared" si="7"/>
        <v>0</v>
      </c>
      <c r="G61" s="79">
        <f t="shared" si="7"/>
        <v>0</v>
      </c>
      <c r="H61" s="79">
        <f t="shared" si="7"/>
        <v>0</v>
      </c>
      <c r="I61" s="79">
        <f t="shared" si="7"/>
        <v>0</v>
      </c>
      <c r="J61" s="79">
        <f t="shared" si="7"/>
        <v>0</v>
      </c>
      <c r="K61" s="79">
        <f t="shared" si="7"/>
        <v>0</v>
      </c>
      <c r="L61" s="79">
        <f t="shared" si="7"/>
        <v>0</v>
      </c>
      <c r="M61" s="79">
        <f t="shared" si="7"/>
        <v>0</v>
      </c>
      <c r="N61" s="79">
        <f t="shared" si="7"/>
        <v>0</v>
      </c>
      <c r="O61" s="79">
        <f t="shared" si="7"/>
        <v>0</v>
      </c>
      <c r="P61" s="79">
        <f t="shared" si="7"/>
        <v>0</v>
      </c>
      <c r="Q61" s="79">
        <f t="shared" si="7"/>
        <v>0</v>
      </c>
      <c r="R61" s="79">
        <f t="shared" si="7"/>
        <v>0</v>
      </c>
      <c r="S61" s="79">
        <f t="shared" si="7"/>
        <v>0</v>
      </c>
      <c r="T61" s="79">
        <f t="shared" si="7"/>
        <v>0</v>
      </c>
      <c r="U61" s="79">
        <f t="shared" si="7"/>
        <v>0</v>
      </c>
      <c r="V61" s="79">
        <f t="shared" si="7"/>
        <v>0</v>
      </c>
      <c r="W61" s="79">
        <f t="shared" si="7"/>
        <v>0</v>
      </c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spans="1:44">
      <c r="B62" s="1" t="s">
        <v>197</v>
      </c>
      <c r="C62" s="79"/>
      <c r="D62" s="79">
        <f>+D60*30.4*$F$58*$I$58</f>
        <v>0</v>
      </c>
      <c r="E62" s="79">
        <f t="shared" ref="E62:W62" si="8">+E60*30.4*$F$58*$I$58</f>
        <v>0</v>
      </c>
      <c r="F62" s="79">
        <f t="shared" si="8"/>
        <v>0</v>
      </c>
      <c r="G62" s="79">
        <f t="shared" si="8"/>
        <v>0</v>
      </c>
      <c r="H62" s="79">
        <f t="shared" si="8"/>
        <v>0</v>
      </c>
      <c r="I62" s="79">
        <f t="shared" si="8"/>
        <v>0</v>
      </c>
      <c r="J62" s="79">
        <f t="shared" si="8"/>
        <v>0</v>
      </c>
      <c r="K62" s="79">
        <f t="shared" si="8"/>
        <v>0</v>
      </c>
      <c r="L62" s="79">
        <f t="shared" si="8"/>
        <v>0</v>
      </c>
      <c r="M62" s="79">
        <f t="shared" si="8"/>
        <v>0</v>
      </c>
      <c r="N62" s="79">
        <f t="shared" si="8"/>
        <v>0</v>
      </c>
      <c r="O62" s="79">
        <f t="shared" si="8"/>
        <v>0</v>
      </c>
      <c r="P62" s="79">
        <f t="shared" si="8"/>
        <v>0</v>
      </c>
      <c r="Q62" s="79">
        <f t="shared" si="8"/>
        <v>0</v>
      </c>
      <c r="R62" s="79">
        <f t="shared" si="8"/>
        <v>0</v>
      </c>
      <c r="S62" s="79">
        <f t="shared" si="8"/>
        <v>0</v>
      </c>
      <c r="T62" s="79">
        <f t="shared" si="8"/>
        <v>0</v>
      </c>
      <c r="U62" s="79">
        <f t="shared" si="8"/>
        <v>0</v>
      </c>
      <c r="V62" s="79">
        <f t="shared" si="8"/>
        <v>0</v>
      </c>
      <c r="W62" s="79">
        <f t="shared" si="8"/>
        <v>0</v>
      </c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spans="1:44"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 spans="1:44">
      <c r="A64" s="44" t="s">
        <v>195</v>
      </c>
      <c r="C64" s="152" t="s">
        <v>165</v>
      </c>
      <c r="D64" s="106" t="s">
        <v>2</v>
      </c>
      <c r="E64" s="151" t="s">
        <v>139</v>
      </c>
      <c r="F64" s="106" t="s">
        <v>166</v>
      </c>
      <c r="G64" s="106" t="s">
        <v>171</v>
      </c>
      <c r="H64" s="106" t="s">
        <v>172</v>
      </c>
      <c r="I64" s="150" t="s">
        <v>3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44">
      <c r="B65" s="1" t="s">
        <v>184</v>
      </c>
      <c r="C65" s="167"/>
      <c r="D65" s="168"/>
      <c r="E65" s="169"/>
      <c r="F65" s="170"/>
      <c r="G65" s="180">
        <f>+C34</f>
        <v>0</v>
      </c>
      <c r="H65" s="171"/>
      <c r="I65" s="172"/>
    </row>
    <row r="66" spans="1:44">
      <c r="B66" s="1" t="s">
        <v>185</v>
      </c>
      <c r="C66" s="181"/>
      <c r="D66" s="168"/>
      <c r="E66" s="169"/>
      <c r="F66" s="170"/>
      <c r="G66" s="180">
        <f>+D34</f>
        <v>0</v>
      </c>
      <c r="H66" s="171"/>
      <c r="I66" s="172"/>
    </row>
    <row r="67" spans="1:44">
      <c r="B67" s="1" t="s">
        <v>163</v>
      </c>
      <c r="C67" s="79"/>
      <c r="D67" s="79">
        <f>IF($G$65-D3&lt;0,0,$H$65)</f>
        <v>0</v>
      </c>
      <c r="E67" s="79">
        <f t="shared" ref="E67:W67" si="9">IF($G$65-E3&lt;0,0,$H$49)</f>
        <v>0</v>
      </c>
      <c r="F67" s="79">
        <f t="shared" si="9"/>
        <v>0</v>
      </c>
      <c r="G67" s="79">
        <f t="shared" si="9"/>
        <v>0</v>
      </c>
      <c r="H67" s="79">
        <f t="shared" si="9"/>
        <v>0</v>
      </c>
      <c r="I67" s="79">
        <f t="shared" si="9"/>
        <v>0</v>
      </c>
      <c r="J67" s="79">
        <f t="shared" si="9"/>
        <v>0</v>
      </c>
      <c r="K67" s="79">
        <f t="shared" si="9"/>
        <v>0</v>
      </c>
      <c r="L67" s="79">
        <f t="shared" si="9"/>
        <v>0</v>
      </c>
      <c r="M67" s="79">
        <f t="shared" si="9"/>
        <v>0</v>
      </c>
      <c r="N67" s="79">
        <f t="shared" si="9"/>
        <v>0</v>
      </c>
      <c r="O67" s="79">
        <f t="shared" si="9"/>
        <v>0</v>
      </c>
      <c r="P67" s="79">
        <f t="shared" si="9"/>
        <v>0</v>
      </c>
      <c r="Q67" s="79">
        <f t="shared" si="9"/>
        <v>0</v>
      </c>
      <c r="R67" s="79">
        <f t="shared" si="9"/>
        <v>0</v>
      </c>
      <c r="S67" s="79">
        <f t="shared" si="9"/>
        <v>0</v>
      </c>
      <c r="T67" s="79">
        <f t="shared" si="9"/>
        <v>0</v>
      </c>
      <c r="U67" s="79">
        <f t="shared" si="9"/>
        <v>0</v>
      </c>
      <c r="V67" s="79">
        <f t="shared" si="9"/>
        <v>0</v>
      </c>
      <c r="W67" s="79">
        <f t="shared" si="9"/>
        <v>0</v>
      </c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spans="1:44">
      <c r="B68" s="1" t="s">
        <v>164</v>
      </c>
      <c r="C68" s="79"/>
      <c r="D68" s="79">
        <f>IF($G$66-D3&lt;0,0,$H$66)</f>
        <v>0</v>
      </c>
      <c r="E68" s="79">
        <f t="shared" ref="E68:W68" si="10">IF($G$66-E3&lt;0,0,$H$50)</f>
        <v>0</v>
      </c>
      <c r="F68" s="79">
        <f t="shared" si="10"/>
        <v>0</v>
      </c>
      <c r="G68" s="79">
        <f t="shared" si="10"/>
        <v>0</v>
      </c>
      <c r="H68" s="79">
        <f t="shared" si="10"/>
        <v>0</v>
      </c>
      <c r="I68" s="79">
        <f t="shared" si="10"/>
        <v>0</v>
      </c>
      <c r="J68" s="79">
        <f t="shared" si="10"/>
        <v>0</v>
      </c>
      <c r="K68" s="79">
        <f t="shared" si="10"/>
        <v>0</v>
      </c>
      <c r="L68" s="79">
        <f t="shared" si="10"/>
        <v>0</v>
      </c>
      <c r="M68" s="79">
        <f t="shared" si="10"/>
        <v>0</v>
      </c>
      <c r="N68" s="79">
        <f t="shared" si="10"/>
        <v>0</v>
      </c>
      <c r="O68" s="79">
        <f t="shared" si="10"/>
        <v>0</v>
      </c>
      <c r="P68" s="79">
        <f t="shared" si="10"/>
        <v>0</v>
      </c>
      <c r="Q68" s="79">
        <f t="shared" si="10"/>
        <v>0</v>
      </c>
      <c r="R68" s="79">
        <f t="shared" si="10"/>
        <v>0</v>
      </c>
      <c r="S68" s="79">
        <f t="shared" si="10"/>
        <v>0</v>
      </c>
      <c r="T68" s="79">
        <f t="shared" si="10"/>
        <v>0</v>
      </c>
      <c r="U68" s="79">
        <f t="shared" si="10"/>
        <v>0</v>
      </c>
      <c r="V68" s="79">
        <f t="shared" si="10"/>
        <v>0</v>
      </c>
      <c r="W68" s="79">
        <f t="shared" si="10"/>
        <v>0</v>
      </c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spans="1:44">
      <c r="B69" s="1" t="s">
        <v>196</v>
      </c>
      <c r="C69" s="79"/>
      <c r="D69" s="79">
        <f>+D67*30.4*$F$65*$I$65</f>
        <v>0</v>
      </c>
      <c r="E69" s="79">
        <f t="shared" ref="E69:W69" si="11">+E67*30.4*$F$65*$I$65</f>
        <v>0</v>
      </c>
      <c r="F69" s="79">
        <f t="shared" si="11"/>
        <v>0</v>
      </c>
      <c r="G69" s="79">
        <f t="shared" si="11"/>
        <v>0</v>
      </c>
      <c r="H69" s="79">
        <f t="shared" si="11"/>
        <v>0</v>
      </c>
      <c r="I69" s="79">
        <f t="shared" si="11"/>
        <v>0</v>
      </c>
      <c r="J69" s="79">
        <f t="shared" si="11"/>
        <v>0</v>
      </c>
      <c r="K69" s="79">
        <f t="shared" si="11"/>
        <v>0</v>
      </c>
      <c r="L69" s="79">
        <f t="shared" si="11"/>
        <v>0</v>
      </c>
      <c r="M69" s="79">
        <f t="shared" si="11"/>
        <v>0</v>
      </c>
      <c r="N69" s="79">
        <f t="shared" si="11"/>
        <v>0</v>
      </c>
      <c r="O69" s="79">
        <f t="shared" si="11"/>
        <v>0</v>
      </c>
      <c r="P69" s="79">
        <f t="shared" si="11"/>
        <v>0</v>
      </c>
      <c r="Q69" s="79">
        <f t="shared" si="11"/>
        <v>0</v>
      </c>
      <c r="R69" s="79">
        <f t="shared" si="11"/>
        <v>0</v>
      </c>
      <c r="S69" s="79">
        <f t="shared" si="11"/>
        <v>0</v>
      </c>
      <c r="T69" s="79">
        <f t="shared" si="11"/>
        <v>0</v>
      </c>
      <c r="U69" s="79">
        <f t="shared" si="11"/>
        <v>0</v>
      </c>
      <c r="V69" s="79">
        <f t="shared" si="11"/>
        <v>0</v>
      </c>
      <c r="W69" s="79">
        <f t="shared" si="11"/>
        <v>0</v>
      </c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spans="1:44">
      <c r="B70" s="1" t="s">
        <v>197</v>
      </c>
      <c r="C70" s="79"/>
      <c r="D70" s="79">
        <f>+D68*30.4*$F$66*$I$66</f>
        <v>0</v>
      </c>
      <c r="E70" s="79">
        <f t="shared" ref="E70:W70" si="12">+E68*30.4*$F$66*$I$66</f>
        <v>0</v>
      </c>
      <c r="F70" s="79">
        <f t="shared" si="12"/>
        <v>0</v>
      </c>
      <c r="G70" s="79">
        <f t="shared" si="12"/>
        <v>0</v>
      </c>
      <c r="H70" s="79">
        <f t="shared" si="12"/>
        <v>0</v>
      </c>
      <c r="I70" s="79">
        <f t="shared" si="12"/>
        <v>0</v>
      </c>
      <c r="J70" s="79">
        <f t="shared" si="12"/>
        <v>0</v>
      </c>
      <c r="K70" s="79">
        <f t="shared" si="12"/>
        <v>0</v>
      </c>
      <c r="L70" s="79">
        <f t="shared" si="12"/>
        <v>0</v>
      </c>
      <c r="M70" s="79">
        <f t="shared" si="12"/>
        <v>0</v>
      </c>
      <c r="N70" s="79">
        <f t="shared" si="12"/>
        <v>0</v>
      </c>
      <c r="O70" s="79">
        <f t="shared" si="12"/>
        <v>0</v>
      </c>
      <c r="P70" s="79">
        <f t="shared" si="12"/>
        <v>0</v>
      </c>
      <c r="Q70" s="79">
        <f t="shared" si="12"/>
        <v>0</v>
      </c>
      <c r="R70" s="79">
        <f t="shared" si="12"/>
        <v>0</v>
      </c>
      <c r="S70" s="79">
        <f t="shared" si="12"/>
        <v>0</v>
      </c>
      <c r="T70" s="79">
        <f t="shared" si="12"/>
        <v>0</v>
      </c>
      <c r="U70" s="79">
        <f t="shared" si="12"/>
        <v>0</v>
      </c>
      <c r="V70" s="79">
        <f t="shared" si="12"/>
        <v>0</v>
      </c>
      <c r="W70" s="79">
        <f t="shared" si="12"/>
        <v>0</v>
      </c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spans="1:44">
      <c r="C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spans="1:44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44">
      <c r="C73" s="153"/>
    </row>
    <row r="74" spans="1:44">
      <c r="A74" s="44" t="s">
        <v>137</v>
      </c>
      <c r="C74" s="156">
        <v>0.03</v>
      </c>
      <c r="D74" s="155"/>
    </row>
    <row r="75" spans="1:44">
      <c r="B75" s="1" t="s">
        <v>135</v>
      </c>
      <c r="C75" s="72"/>
      <c r="D75" s="70"/>
    </row>
    <row r="76" spans="1:44">
      <c r="A76" s="44" t="s">
        <v>134</v>
      </c>
      <c r="B76" s="1" t="s">
        <v>140</v>
      </c>
      <c r="C76" s="72"/>
      <c r="D76" s="173">
        <f>+Summary!D91*0.9</f>
        <v>1189352.7</v>
      </c>
      <c r="E76" s="70">
        <f t="shared" ref="E76:J76" si="13">+D76</f>
        <v>1189352.7</v>
      </c>
      <c r="F76" s="70">
        <f t="shared" si="13"/>
        <v>1189352.7</v>
      </c>
      <c r="G76" s="70">
        <f t="shared" si="13"/>
        <v>1189352.7</v>
      </c>
      <c r="H76" s="70">
        <f t="shared" si="13"/>
        <v>1189352.7</v>
      </c>
      <c r="I76" s="70">
        <f t="shared" si="13"/>
        <v>1189352.7</v>
      </c>
      <c r="J76" s="70">
        <f t="shared" si="13"/>
        <v>1189352.7</v>
      </c>
      <c r="K76" s="70">
        <f>IF($G$49-K3&lt;0,0,J76)+R87</f>
        <v>0</v>
      </c>
      <c r="L76" s="70">
        <f>IF($G$49-L3&lt;0,0,K76)+S87</f>
        <v>0</v>
      </c>
      <c r="M76" s="70">
        <f>IF($G$49-M3&lt;0,0,L76)+T87</f>
        <v>0</v>
      </c>
      <c r="N76" s="70">
        <f>IF($G$49-N3&lt;0,0,M76)+U87</f>
        <v>0</v>
      </c>
      <c r="O76" s="70">
        <f>IF($G$49-O3&lt;0,0,N76)+V87</f>
        <v>0</v>
      </c>
      <c r="P76" s="70">
        <f t="shared" ref="P76:W76" si="14">IF($G$49-P3&lt;0,0,O76*(1+$C$74))</f>
        <v>0</v>
      </c>
      <c r="Q76" s="70">
        <f t="shared" si="14"/>
        <v>0</v>
      </c>
      <c r="R76" s="70">
        <f t="shared" si="14"/>
        <v>0</v>
      </c>
      <c r="S76" s="70">
        <f t="shared" si="14"/>
        <v>0</v>
      </c>
      <c r="T76" s="70">
        <f t="shared" si="14"/>
        <v>0</v>
      </c>
      <c r="U76" s="70">
        <f t="shared" si="14"/>
        <v>0</v>
      </c>
      <c r="V76" s="70">
        <f t="shared" si="14"/>
        <v>0</v>
      </c>
      <c r="W76" s="70">
        <f t="shared" si="14"/>
        <v>0</v>
      </c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spans="1:44">
      <c r="C77" s="3"/>
    </row>
    <row r="78" spans="1:44">
      <c r="C78" s="114" t="s">
        <v>121</v>
      </c>
      <c r="D78" s="44" t="s">
        <v>122</v>
      </c>
      <c r="E78" s="44" t="s">
        <v>123</v>
      </c>
      <c r="G78" s="44" t="s">
        <v>133</v>
      </c>
      <c r="J78" s="114" t="s">
        <v>121</v>
      </c>
      <c r="K78" s="44" t="s">
        <v>122</v>
      </c>
      <c r="L78" s="44" t="s">
        <v>123</v>
      </c>
    </row>
    <row r="79" spans="1:44">
      <c r="B79" s="134" t="s">
        <v>113</v>
      </c>
      <c r="C79" s="167"/>
      <c r="D79" s="1">
        <v>600</v>
      </c>
      <c r="E79" s="1">
        <f>+C79*D79</f>
        <v>0</v>
      </c>
      <c r="H79" s="1" t="s">
        <v>113</v>
      </c>
      <c r="J79" s="174"/>
      <c r="K79" s="1">
        <v>600</v>
      </c>
      <c r="L79" s="1">
        <f>+J79*K79</f>
        <v>0</v>
      </c>
    </row>
    <row r="80" spans="1:44">
      <c r="A80" s="44" t="s">
        <v>124</v>
      </c>
      <c r="B80" s="154" t="s">
        <v>114</v>
      </c>
      <c r="C80" s="167"/>
      <c r="D80" s="3">
        <v>400</v>
      </c>
      <c r="E80" s="1">
        <f t="shared" ref="E80:E86" si="15">+C80*D80</f>
        <v>0</v>
      </c>
      <c r="F80" s="3"/>
      <c r="H80" s="3" t="s">
        <v>114</v>
      </c>
      <c r="J80" s="174"/>
      <c r="K80" s="3">
        <v>400</v>
      </c>
      <c r="L80" s="1">
        <f t="shared" ref="L80:L86" si="16">+J80*K80</f>
        <v>0</v>
      </c>
    </row>
    <row r="81" spans="1:12">
      <c r="B81" s="134" t="s">
        <v>115</v>
      </c>
      <c r="C81" s="167"/>
      <c r="D81" s="3">
        <v>100</v>
      </c>
      <c r="E81" s="1">
        <f t="shared" si="15"/>
        <v>0</v>
      </c>
      <c r="F81" s="3"/>
      <c r="H81" s="1" t="s">
        <v>115</v>
      </c>
      <c r="J81" s="174"/>
      <c r="K81" s="3">
        <v>100</v>
      </c>
      <c r="L81" s="1">
        <f t="shared" si="16"/>
        <v>0</v>
      </c>
    </row>
    <row r="82" spans="1:12">
      <c r="B82" s="154" t="s">
        <v>116</v>
      </c>
      <c r="C82" s="167">
        <v>0</v>
      </c>
      <c r="D82" s="3">
        <v>5000</v>
      </c>
      <c r="E82" s="1">
        <f t="shared" si="15"/>
        <v>0</v>
      </c>
      <c r="F82" s="3"/>
      <c r="H82" s="3" t="s">
        <v>116</v>
      </c>
      <c r="J82" s="174"/>
      <c r="K82" s="3">
        <v>5000</v>
      </c>
      <c r="L82" s="1">
        <f t="shared" si="16"/>
        <v>0</v>
      </c>
    </row>
    <row r="83" spans="1:12">
      <c r="B83" s="154" t="s">
        <v>117</v>
      </c>
      <c r="C83" s="167"/>
      <c r="D83" s="3">
        <v>46.71</v>
      </c>
      <c r="E83" s="1">
        <f t="shared" si="15"/>
        <v>0</v>
      </c>
      <c r="F83" s="3"/>
      <c r="H83" s="3" t="s">
        <v>117</v>
      </c>
      <c r="J83" s="174"/>
      <c r="K83" s="3">
        <v>46.71</v>
      </c>
      <c r="L83" s="1">
        <f t="shared" si="16"/>
        <v>0</v>
      </c>
    </row>
    <row r="84" spans="1:12">
      <c r="B84" s="154" t="s">
        <v>118</v>
      </c>
      <c r="C84" s="167"/>
      <c r="D84" s="3">
        <v>20.7</v>
      </c>
      <c r="E84" s="1">
        <f t="shared" si="15"/>
        <v>0</v>
      </c>
      <c r="F84" s="3"/>
      <c r="H84" s="3" t="s">
        <v>118</v>
      </c>
      <c r="J84" s="174"/>
      <c r="K84" s="3">
        <v>20.7</v>
      </c>
      <c r="L84" s="1">
        <f t="shared" si="16"/>
        <v>0</v>
      </c>
    </row>
    <row r="85" spans="1:12">
      <c r="B85" s="154" t="s">
        <v>119</v>
      </c>
      <c r="C85" s="167"/>
      <c r="D85" s="3">
        <v>1.4</v>
      </c>
      <c r="E85" s="1">
        <f t="shared" si="15"/>
        <v>0</v>
      </c>
      <c r="F85" s="3"/>
      <c r="H85" s="3" t="s">
        <v>119</v>
      </c>
      <c r="J85" s="174"/>
      <c r="K85" s="3">
        <v>1.4</v>
      </c>
      <c r="L85" s="1">
        <f t="shared" si="16"/>
        <v>0</v>
      </c>
    </row>
    <row r="86" spans="1:12">
      <c r="B86" s="154" t="s">
        <v>120</v>
      </c>
      <c r="C86" s="167"/>
      <c r="D86" s="3">
        <v>1.9</v>
      </c>
      <c r="E86" s="1">
        <f t="shared" si="15"/>
        <v>0</v>
      </c>
      <c r="F86" s="3"/>
      <c r="H86" s="3" t="s">
        <v>120</v>
      </c>
      <c r="J86" s="174"/>
      <c r="K86" s="3">
        <v>1.9</v>
      </c>
      <c r="L86" s="1">
        <f t="shared" si="16"/>
        <v>0</v>
      </c>
    </row>
    <row r="87" spans="1:12" ht="10.8" thickBot="1">
      <c r="B87" s="3"/>
      <c r="C87" s="115" t="s">
        <v>136</v>
      </c>
      <c r="D87" s="115"/>
      <c r="E87" s="116">
        <f>SUM(E79:E86)</f>
        <v>0</v>
      </c>
      <c r="F87" s="3"/>
      <c r="H87" s="3"/>
      <c r="J87" s="115" t="s">
        <v>136</v>
      </c>
      <c r="K87" s="115"/>
      <c r="L87" s="116">
        <f>SUM(L79:L86)</f>
        <v>0</v>
      </c>
    </row>
    <row r="88" spans="1:12" ht="10.8" thickTop="1">
      <c r="B88" s="3"/>
      <c r="C88" s="3"/>
      <c r="D88" s="3"/>
      <c r="F88" s="3"/>
    </row>
    <row r="89" spans="1:12">
      <c r="C89" s="114" t="s">
        <v>121</v>
      </c>
      <c r="D89" s="44" t="s">
        <v>122</v>
      </c>
      <c r="E89" s="44" t="s">
        <v>123</v>
      </c>
      <c r="F89" s="115"/>
      <c r="G89" s="44" t="s">
        <v>131</v>
      </c>
      <c r="H89" s="44"/>
      <c r="I89" s="44"/>
      <c r="J89" s="114" t="s">
        <v>121</v>
      </c>
      <c r="K89" s="44" t="s">
        <v>122</v>
      </c>
      <c r="L89" s="44" t="s">
        <v>123</v>
      </c>
    </row>
    <row r="90" spans="1:12">
      <c r="B90" s="1" t="s">
        <v>113</v>
      </c>
      <c r="C90" s="174"/>
      <c r="D90" s="1">
        <v>600</v>
      </c>
      <c r="E90" s="1">
        <f>+C90*D90</f>
        <v>0</v>
      </c>
      <c r="F90" s="3"/>
      <c r="H90" s="1" t="s">
        <v>113</v>
      </c>
      <c r="J90" s="174"/>
      <c r="K90" s="1">
        <v>600</v>
      </c>
      <c r="L90" s="1">
        <f>+J90*K90</f>
        <v>0</v>
      </c>
    </row>
    <row r="91" spans="1:12">
      <c r="A91" s="44" t="s">
        <v>132</v>
      </c>
      <c r="B91" s="3" t="s">
        <v>114</v>
      </c>
      <c r="C91" s="174"/>
      <c r="D91" s="3">
        <v>400</v>
      </c>
      <c r="E91" s="1">
        <f t="shared" ref="E91:E97" si="17">+C91*D91</f>
        <v>0</v>
      </c>
      <c r="F91" s="3"/>
      <c r="H91" s="3" t="s">
        <v>114</v>
      </c>
      <c r="J91" s="174"/>
      <c r="K91" s="3">
        <v>400</v>
      </c>
      <c r="L91" s="1">
        <f t="shared" ref="L91:L97" si="18">+J91*K91</f>
        <v>0</v>
      </c>
    </row>
    <row r="92" spans="1:12">
      <c r="B92" s="1" t="s">
        <v>115</v>
      </c>
      <c r="C92" s="174"/>
      <c r="D92" s="3">
        <v>100</v>
      </c>
      <c r="E92" s="1">
        <f t="shared" si="17"/>
        <v>0</v>
      </c>
      <c r="F92" s="3"/>
      <c r="H92" s="1" t="s">
        <v>115</v>
      </c>
      <c r="J92" s="174"/>
      <c r="K92" s="3">
        <v>100</v>
      </c>
      <c r="L92" s="1">
        <f t="shared" si="18"/>
        <v>0</v>
      </c>
    </row>
    <row r="93" spans="1:12">
      <c r="B93" s="3" t="s">
        <v>116</v>
      </c>
      <c r="C93" s="174"/>
      <c r="D93" s="3">
        <v>5000</v>
      </c>
      <c r="E93" s="1">
        <f t="shared" si="17"/>
        <v>0</v>
      </c>
      <c r="F93" s="3"/>
      <c r="H93" s="3" t="s">
        <v>116</v>
      </c>
      <c r="J93" s="174"/>
      <c r="K93" s="3">
        <v>5000</v>
      </c>
      <c r="L93" s="1">
        <f t="shared" si="18"/>
        <v>0</v>
      </c>
    </row>
    <row r="94" spans="1:12">
      <c r="B94" s="3" t="s">
        <v>117</v>
      </c>
      <c r="C94" s="174"/>
      <c r="D94" s="3">
        <v>46.71</v>
      </c>
      <c r="E94" s="1">
        <f t="shared" si="17"/>
        <v>0</v>
      </c>
      <c r="H94" s="3" t="s">
        <v>117</v>
      </c>
      <c r="J94" s="174"/>
      <c r="K94" s="3">
        <v>46.71</v>
      </c>
      <c r="L94" s="1">
        <f t="shared" si="18"/>
        <v>0</v>
      </c>
    </row>
    <row r="95" spans="1:12">
      <c r="B95" s="3" t="s">
        <v>118</v>
      </c>
      <c r="C95" s="174"/>
      <c r="D95" s="3">
        <v>20.7</v>
      </c>
      <c r="E95" s="1">
        <f t="shared" si="17"/>
        <v>0</v>
      </c>
      <c r="H95" s="3" t="s">
        <v>118</v>
      </c>
      <c r="J95" s="174"/>
      <c r="K95" s="3">
        <v>20.7</v>
      </c>
      <c r="L95" s="1">
        <f t="shared" si="18"/>
        <v>0</v>
      </c>
    </row>
    <row r="96" spans="1:12">
      <c r="B96" s="3" t="s">
        <v>119</v>
      </c>
      <c r="C96" s="174"/>
      <c r="D96" s="3">
        <v>1.4</v>
      </c>
      <c r="E96" s="1">
        <f t="shared" si="17"/>
        <v>0</v>
      </c>
      <c r="H96" s="3" t="s">
        <v>119</v>
      </c>
      <c r="J96" s="174"/>
      <c r="K96" s="3">
        <v>1.4</v>
      </c>
      <c r="L96" s="1">
        <f t="shared" si="18"/>
        <v>0</v>
      </c>
    </row>
    <row r="97" spans="1:12">
      <c r="B97" s="3" t="s">
        <v>120</v>
      </c>
      <c r="C97" s="174"/>
      <c r="D97" s="3">
        <v>1.9</v>
      </c>
      <c r="E97" s="1">
        <f t="shared" si="17"/>
        <v>0</v>
      </c>
      <c r="H97" s="3" t="s">
        <v>120</v>
      </c>
      <c r="J97" s="174"/>
      <c r="K97" s="3">
        <v>1.9</v>
      </c>
      <c r="L97" s="1">
        <f t="shared" si="18"/>
        <v>0</v>
      </c>
    </row>
    <row r="98" spans="1:12" ht="10.8" thickBot="1">
      <c r="B98" s="3"/>
      <c r="C98" s="115" t="s">
        <v>136</v>
      </c>
      <c r="D98" s="115"/>
      <c r="E98" s="116">
        <f>SUM(E90:E97)</f>
        <v>0</v>
      </c>
      <c r="F98" s="3"/>
      <c r="H98" s="3"/>
      <c r="J98" s="115" t="s">
        <v>136</v>
      </c>
      <c r="K98" s="115"/>
      <c r="L98" s="116">
        <f>SUM(L90:L97)</f>
        <v>0</v>
      </c>
    </row>
    <row r="99" spans="1:12" ht="10.8" thickTop="1">
      <c r="B99" s="3"/>
      <c r="C99" s="3"/>
      <c r="D99" s="3"/>
      <c r="F99" s="3"/>
    </row>
    <row r="100" spans="1:12">
      <c r="C100" s="114" t="s">
        <v>121</v>
      </c>
      <c r="D100" s="44" t="s">
        <v>122</v>
      </c>
      <c r="E100" s="44" t="s">
        <v>123</v>
      </c>
      <c r="F100" s="44"/>
      <c r="G100" s="44" t="s">
        <v>129</v>
      </c>
      <c r="H100" s="44"/>
      <c r="I100" s="44"/>
      <c r="J100" s="114" t="s">
        <v>121</v>
      </c>
      <c r="K100" s="44" t="s">
        <v>122</v>
      </c>
      <c r="L100" s="44" t="s">
        <v>123</v>
      </c>
    </row>
    <row r="101" spans="1:12">
      <c r="B101" s="1" t="s">
        <v>113</v>
      </c>
      <c r="C101" s="174"/>
      <c r="D101" s="1">
        <v>600</v>
      </c>
      <c r="E101" s="1">
        <f>+C101*D101</f>
        <v>0</v>
      </c>
      <c r="H101" s="1" t="s">
        <v>113</v>
      </c>
      <c r="J101" s="174"/>
      <c r="K101" s="1">
        <v>600</v>
      </c>
      <c r="L101" s="1">
        <f>+J101*K101</f>
        <v>0</v>
      </c>
    </row>
    <row r="102" spans="1:12">
      <c r="A102" s="44" t="s">
        <v>130</v>
      </c>
      <c r="B102" s="3" t="s">
        <v>114</v>
      </c>
      <c r="C102" s="174"/>
      <c r="D102" s="3">
        <v>400</v>
      </c>
      <c r="E102" s="1">
        <f t="shared" ref="E102:E108" si="19">+C102*D102</f>
        <v>0</v>
      </c>
      <c r="H102" s="3" t="s">
        <v>114</v>
      </c>
      <c r="J102" s="174"/>
      <c r="K102" s="3">
        <v>400</v>
      </c>
      <c r="L102" s="1">
        <f t="shared" ref="L102:L108" si="20">+J102*K102</f>
        <v>0</v>
      </c>
    </row>
    <row r="103" spans="1:12">
      <c r="B103" s="1" t="s">
        <v>115</v>
      </c>
      <c r="C103" s="174"/>
      <c r="D103" s="3">
        <v>100</v>
      </c>
      <c r="E103" s="1">
        <f t="shared" si="19"/>
        <v>0</v>
      </c>
      <c r="H103" s="1" t="s">
        <v>115</v>
      </c>
      <c r="J103" s="174"/>
      <c r="K103" s="3">
        <v>100</v>
      </c>
      <c r="L103" s="1">
        <f t="shared" si="20"/>
        <v>0</v>
      </c>
    </row>
    <row r="104" spans="1:12">
      <c r="B104" s="3" t="s">
        <v>116</v>
      </c>
      <c r="C104" s="174"/>
      <c r="D104" s="3">
        <v>5000</v>
      </c>
      <c r="E104" s="1">
        <f t="shared" si="19"/>
        <v>0</v>
      </c>
      <c r="H104" s="3" t="s">
        <v>116</v>
      </c>
      <c r="J104" s="174"/>
      <c r="K104" s="3">
        <v>5000</v>
      </c>
      <c r="L104" s="1">
        <f t="shared" si="20"/>
        <v>0</v>
      </c>
    </row>
    <row r="105" spans="1:12">
      <c r="B105" s="3" t="s">
        <v>117</v>
      </c>
      <c r="C105" s="174"/>
      <c r="D105" s="3">
        <v>46.71</v>
      </c>
      <c r="E105" s="1">
        <f t="shared" si="19"/>
        <v>0</v>
      </c>
      <c r="H105" s="3" t="s">
        <v>117</v>
      </c>
      <c r="J105" s="174"/>
      <c r="K105" s="3">
        <v>46.71</v>
      </c>
      <c r="L105" s="1">
        <f t="shared" si="20"/>
        <v>0</v>
      </c>
    </row>
    <row r="106" spans="1:12">
      <c r="B106" s="3" t="s">
        <v>118</v>
      </c>
      <c r="C106" s="174"/>
      <c r="D106" s="3">
        <v>20.7</v>
      </c>
      <c r="E106" s="1">
        <f t="shared" si="19"/>
        <v>0</v>
      </c>
      <c r="H106" s="3" t="s">
        <v>118</v>
      </c>
      <c r="J106" s="174"/>
      <c r="K106" s="3">
        <v>20.7</v>
      </c>
      <c r="L106" s="1">
        <f t="shared" si="20"/>
        <v>0</v>
      </c>
    </row>
    <row r="107" spans="1:12">
      <c r="B107" s="3" t="s">
        <v>119</v>
      </c>
      <c r="C107" s="174"/>
      <c r="D107" s="3">
        <v>1.4</v>
      </c>
      <c r="E107" s="1">
        <f t="shared" si="19"/>
        <v>0</v>
      </c>
      <c r="H107" s="3" t="s">
        <v>119</v>
      </c>
      <c r="J107" s="174"/>
      <c r="K107" s="3">
        <v>1.4</v>
      </c>
      <c r="L107" s="1">
        <f t="shared" si="20"/>
        <v>0</v>
      </c>
    </row>
    <row r="108" spans="1:12">
      <c r="B108" s="3" t="s">
        <v>120</v>
      </c>
      <c r="C108" s="174"/>
      <c r="D108" s="3">
        <v>1.9</v>
      </c>
      <c r="E108" s="1">
        <f t="shared" si="19"/>
        <v>0</v>
      </c>
      <c r="H108" s="3" t="s">
        <v>120</v>
      </c>
      <c r="J108" s="174"/>
      <c r="K108" s="3">
        <v>1.9</v>
      </c>
      <c r="L108" s="1">
        <f t="shared" si="20"/>
        <v>0</v>
      </c>
    </row>
    <row r="109" spans="1:12" ht="10.8" thickBot="1">
      <c r="B109" s="3"/>
      <c r="C109" s="115" t="s">
        <v>136</v>
      </c>
      <c r="D109" s="115"/>
      <c r="E109" s="116">
        <f>SUM(E101:E108)</f>
        <v>0</v>
      </c>
      <c r="F109" s="3"/>
      <c r="H109" s="3"/>
      <c r="J109" s="115" t="s">
        <v>136</v>
      </c>
      <c r="K109" s="115"/>
      <c r="L109" s="116">
        <f>SUM(L101:L108)</f>
        <v>0</v>
      </c>
    </row>
    <row r="110" spans="1:12" ht="10.8" thickTop="1">
      <c r="B110" s="3"/>
      <c r="C110" s="3"/>
      <c r="D110" s="3"/>
      <c r="F110" s="3"/>
    </row>
    <row r="111" spans="1:12">
      <c r="C111" s="114" t="s">
        <v>121</v>
      </c>
      <c r="D111" s="44" t="s">
        <v>122</v>
      </c>
      <c r="E111" s="44" t="s">
        <v>123</v>
      </c>
      <c r="F111" s="44"/>
      <c r="G111" s="44" t="s">
        <v>127</v>
      </c>
      <c r="H111" s="44"/>
      <c r="I111" s="44"/>
      <c r="J111" s="114" t="s">
        <v>121</v>
      </c>
      <c r="K111" s="44" t="s">
        <v>122</v>
      </c>
      <c r="L111" s="44" t="s">
        <v>123</v>
      </c>
    </row>
    <row r="112" spans="1:12">
      <c r="B112" s="1" t="s">
        <v>113</v>
      </c>
      <c r="C112" s="174"/>
      <c r="D112" s="1">
        <v>600</v>
      </c>
      <c r="E112" s="1">
        <f>+C112*D112</f>
        <v>0</v>
      </c>
      <c r="H112" s="1" t="s">
        <v>113</v>
      </c>
      <c r="J112" s="174"/>
      <c r="K112" s="1">
        <v>600</v>
      </c>
      <c r="L112" s="1">
        <f>+J112*K112</f>
        <v>0</v>
      </c>
    </row>
    <row r="113" spans="1:12">
      <c r="A113" s="44" t="s">
        <v>128</v>
      </c>
      <c r="B113" s="3" t="s">
        <v>114</v>
      </c>
      <c r="C113" s="174"/>
      <c r="D113" s="3">
        <v>400</v>
      </c>
      <c r="E113" s="1">
        <f t="shared" ref="E113:E119" si="21">+C113*D113</f>
        <v>0</v>
      </c>
      <c r="H113" s="3" t="s">
        <v>114</v>
      </c>
      <c r="J113" s="174"/>
      <c r="K113" s="3">
        <v>400</v>
      </c>
      <c r="L113" s="1">
        <f t="shared" ref="L113:L119" si="22">+J113*K113</f>
        <v>0</v>
      </c>
    </row>
    <row r="114" spans="1:12">
      <c r="B114" s="1" t="s">
        <v>115</v>
      </c>
      <c r="C114" s="174"/>
      <c r="D114" s="3">
        <v>100</v>
      </c>
      <c r="E114" s="1">
        <f t="shared" si="21"/>
        <v>0</v>
      </c>
      <c r="H114" s="1" t="s">
        <v>115</v>
      </c>
      <c r="J114" s="174"/>
      <c r="K114" s="3">
        <v>100</v>
      </c>
      <c r="L114" s="1">
        <f t="shared" si="22"/>
        <v>0</v>
      </c>
    </row>
    <row r="115" spans="1:12">
      <c r="B115" s="3" t="s">
        <v>116</v>
      </c>
      <c r="C115" s="174"/>
      <c r="D115" s="3">
        <v>5000</v>
      </c>
      <c r="E115" s="1">
        <f t="shared" si="21"/>
        <v>0</v>
      </c>
      <c r="H115" s="3" t="s">
        <v>116</v>
      </c>
      <c r="J115" s="174"/>
      <c r="K115" s="3">
        <v>5000</v>
      </c>
      <c r="L115" s="1">
        <f t="shared" si="22"/>
        <v>0</v>
      </c>
    </row>
    <row r="116" spans="1:12">
      <c r="B116" s="3" t="s">
        <v>117</v>
      </c>
      <c r="C116" s="174"/>
      <c r="D116" s="3">
        <v>46.71</v>
      </c>
      <c r="E116" s="1">
        <f t="shared" si="21"/>
        <v>0</v>
      </c>
      <c r="H116" s="3" t="s">
        <v>117</v>
      </c>
      <c r="J116" s="174"/>
      <c r="K116" s="3">
        <v>46.71</v>
      </c>
      <c r="L116" s="1">
        <f t="shared" si="22"/>
        <v>0</v>
      </c>
    </row>
    <row r="117" spans="1:12">
      <c r="B117" s="3" t="s">
        <v>118</v>
      </c>
      <c r="C117" s="174"/>
      <c r="D117" s="3">
        <v>20.7</v>
      </c>
      <c r="E117" s="1">
        <f t="shared" si="21"/>
        <v>0</v>
      </c>
      <c r="H117" s="3" t="s">
        <v>118</v>
      </c>
      <c r="J117" s="174"/>
      <c r="K117" s="3">
        <v>20.7</v>
      </c>
      <c r="L117" s="1">
        <f t="shared" si="22"/>
        <v>0</v>
      </c>
    </row>
    <row r="118" spans="1:12">
      <c r="B118" s="3" t="s">
        <v>119</v>
      </c>
      <c r="C118" s="174"/>
      <c r="D118" s="3">
        <v>1.4</v>
      </c>
      <c r="E118" s="1">
        <f t="shared" si="21"/>
        <v>0</v>
      </c>
      <c r="H118" s="3" t="s">
        <v>119</v>
      </c>
      <c r="J118" s="174"/>
      <c r="K118" s="3">
        <v>1.4</v>
      </c>
      <c r="L118" s="1">
        <f t="shared" si="22"/>
        <v>0</v>
      </c>
    </row>
    <row r="119" spans="1:12">
      <c r="B119" s="3" t="s">
        <v>120</v>
      </c>
      <c r="C119" s="174"/>
      <c r="D119" s="3">
        <v>1.9</v>
      </c>
      <c r="E119" s="1">
        <f t="shared" si="21"/>
        <v>0</v>
      </c>
      <c r="H119" s="3" t="s">
        <v>120</v>
      </c>
      <c r="J119" s="174"/>
      <c r="K119" s="3">
        <v>1.9</v>
      </c>
      <c r="L119" s="1">
        <f t="shared" si="22"/>
        <v>0</v>
      </c>
    </row>
    <row r="120" spans="1:12" ht="10.8" thickBot="1">
      <c r="B120" s="3"/>
      <c r="C120" s="115" t="s">
        <v>136</v>
      </c>
      <c r="D120" s="115"/>
      <c r="E120" s="116">
        <f>SUM(E112:E119)</f>
        <v>0</v>
      </c>
      <c r="F120" s="3"/>
      <c r="H120" s="3"/>
      <c r="J120" s="115" t="s">
        <v>136</v>
      </c>
      <c r="K120" s="115"/>
      <c r="L120" s="116">
        <f>SUM(L112:L119)</f>
        <v>0</v>
      </c>
    </row>
    <row r="121" spans="1:12" ht="10.8" thickTop="1">
      <c r="B121" s="3"/>
      <c r="C121" s="3"/>
      <c r="D121" s="3"/>
      <c r="F121" s="3"/>
    </row>
    <row r="122" spans="1:12">
      <c r="C122" s="114" t="s">
        <v>121</v>
      </c>
      <c r="D122" s="44" t="s">
        <v>122</v>
      </c>
      <c r="E122" s="44" t="s">
        <v>123</v>
      </c>
      <c r="F122" s="44"/>
      <c r="G122" s="44" t="s">
        <v>125</v>
      </c>
      <c r="H122" s="44"/>
      <c r="I122" s="44"/>
      <c r="J122" s="114" t="s">
        <v>121</v>
      </c>
      <c r="K122" s="44" t="s">
        <v>122</v>
      </c>
      <c r="L122" s="44" t="s">
        <v>123</v>
      </c>
    </row>
    <row r="123" spans="1:12">
      <c r="B123" s="1" t="s">
        <v>113</v>
      </c>
      <c r="C123" s="174"/>
      <c r="D123" s="1">
        <v>600</v>
      </c>
      <c r="E123" s="1">
        <f>+C123*D123</f>
        <v>0</v>
      </c>
      <c r="H123" s="1" t="s">
        <v>113</v>
      </c>
      <c r="J123" s="174"/>
      <c r="K123" s="1">
        <v>600</v>
      </c>
      <c r="L123" s="1">
        <f>+J123*K123</f>
        <v>0</v>
      </c>
    </row>
    <row r="124" spans="1:12">
      <c r="A124" s="44" t="s">
        <v>126</v>
      </c>
      <c r="B124" s="3" t="s">
        <v>114</v>
      </c>
      <c r="C124" s="174"/>
      <c r="D124" s="3">
        <v>400</v>
      </c>
      <c r="E124" s="1">
        <f t="shared" ref="E124:E130" si="23">+C124*D124</f>
        <v>0</v>
      </c>
      <c r="H124" s="3" t="s">
        <v>114</v>
      </c>
      <c r="J124" s="174"/>
      <c r="K124" s="3">
        <v>400</v>
      </c>
      <c r="L124" s="1">
        <f t="shared" ref="L124:L130" si="24">+J124*K124</f>
        <v>0</v>
      </c>
    </row>
    <row r="125" spans="1:12">
      <c r="B125" s="1" t="s">
        <v>115</v>
      </c>
      <c r="C125" s="174"/>
      <c r="D125" s="3">
        <v>100</v>
      </c>
      <c r="E125" s="1">
        <f t="shared" si="23"/>
        <v>0</v>
      </c>
      <c r="H125" s="1" t="s">
        <v>115</v>
      </c>
      <c r="J125" s="174"/>
      <c r="K125" s="3">
        <v>100</v>
      </c>
      <c r="L125" s="1">
        <f t="shared" si="24"/>
        <v>0</v>
      </c>
    </row>
    <row r="126" spans="1:12">
      <c r="B126" s="3" t="s">
        <v>116</v>
      </c>
      <c r="C126" s="174"/>
      <c r="D126" s="3">
        <v>5000</v>
      </c>
      <c r="E126" s="1">
        <f t="shared" si="23"/>
        <v>0</v>
      </c>
      <c r="H126" s="3" t="s">
        <v>116</v>
      </c>
      <c r="J126" s="174"/>
      <c r="K126" s="3">
        <v>5000</v>
      </c>
      <c r="L126" s="1">
        <f t="shared" si="24"/>
        <v>0</v>
      </c>
    </row>
    <row r="127" spans="1:12">
      <c r="B127" s="3" t="s">
        <v>117</v>
      </c>
      <c r="C127" s="174"/>
      <c r="D127" s="3">
        <v>46.71</v>
      </c>
      <c r="E127" s="1">
        <f t="shared" si="23"/>
        <v>0</v>
      </c>
      <c r="H127" s="3" t="s">
        <v>117</v>
      </c>
      <c r="J127" s="174"/>
      <c r="K127" s="3">
        <v>46.71</v>
      </c>
      <c r="L127" s="1">
        <f t="shared" si="24"/>
        <v>0</v>
      </c>
    </row>
    <row r="128" spans="1:12">
      <c r="B128" s="3" t="s">
        <v>118</v>
      </c>
      <c r="C128" s="174"/>
      <c r="D128" s="3">
        <v>20.7</v>
      </c>
      <c r="E128" s="1">
        <f t="shared" si="23"/>
        <v>0</v>
      </c>
      <c r="H128" s="3" t="s">
        <v>118</v>
      </c>
      <c r="J128" s="174"/>
      <c r="K128" s="3">
        <v>20.7</v>
      </c>
      <c r="L128" s="1">
        <f t="shared" si="24"/>
        <v>0</v>
      </c>
    </row>
    <row r="129" spans="2:12">
      <c r="B129" s="3" t="s">
        <v>119</v>
      </c>
      <c r="C129" s="174"/>
      <c r="D129" s="3">
        <v>1.4</v>
      </c>
      <c r="E129" s="1">
        <f t="shared" si="23"/>
        <v>0</v>
      </c>
      <c r="H129" s="3" t="s">
        <v>119</v>
      </c>
      <c r="J129" s="174"/>
      <c r="K129" s="3">
        <v>1.4</v>
      </c>
      <c r="L129" s="1">
        <f t="shared" si="24"/>
        <v>0</v>
      </c>
    </row>
    <row r="130" spans="2:12">
      <c r="B130" s="3" t="s">
        <v>120</v>
      </c>
      <c r="C130" s="174"/>
      <c r="D130" s="3">
        <v>1.9</v>
      </c>
      <c r="E130" s="1">
        <f t="shared" si="23"/>
        <v>0</v>
      </c>
      <c r="H130" s="3" t="s">
        <v>120</v>
      </c>
      <c r="J130" s="174"/>
      <c r="K130" s="3">
        <v>1.9</v>
      </c>
      <c r="L130" s="1">
        <f t="shared" si="24"/>
        <v>0</v>
      </c>
    </row>
    <row r="131" spans="2:12" ht="10.8" thickBot="1">
      <c r="B131" s="3"/>
      <c r="C131" s="115" t="s">
        <v>136</v>
      </c>
      <c r="D131" s="115"/>
      <c r="E131" s="116">
        <f>SUM(E123:E130)</f>
        <v>0</v>
      </c>
      <c r="F131" s="3"/>
      <c r="H131" s="3"/>
      <c r="J131" s="115" t="s">
        <v>136</v>
      </c>
      <c r="K131" s="115"/>
      <c r="L131" s="116">
        <f>SUM(L123:L130)</f>
        <v>0</v>
      </c>
    </row>
    <row r="132" spans="2:12" ht="10.8" thickTop="1">
      <c r="B132" s="3"/>
      <c r="C132" s="3"/>
      <c r="D132" s="3"/>
      <c r="F132" s="3"/>
    </row>
    <row r="142" spans="2:12" ht="10.5" customHeight="1">
      <c r="F142" s="3"/>
    </row>
    <row r="143" spans="2:12">
      <c r="B143" s="3"/>
      <c r="C143" s="3"/>
      <c r="D143" s="3"/>
      <c r="F143" s="3"/>
    </row>
    <row r="153" spans="2:6" ht="10.5" customHeight="1">
      <c r="F153" s="3"/>
    </row>
    <row r="154" spans="2:6">
      <c r="B154" s="3"/>
      <c r="C154" s="3"/>
      <c r="D154" s="3"/>
      <c r="F154" s="3"/>
    </row>
    <row r="164" spans="2:6" ht="10.5" customHeight="1">
      <c r="F164" s="3"/>
    </row>
    <row r="165" spans="2:6">
      <c r="B165" s="3"/>
      <c r="C165" s="3"/>
      <c r="D165" s="3"/>
      <c r="F165" s="3"/>
    </row>
    <row r="175" spans="2:6" ht="10.5" customHeight="1">
      <c r="F175" s="3"/>
    </row>
    <row r="176" spans="2:6">
      <c r="B176" s="3"/>
      <c r="C176" s="3"/>
      <c r="D176" s="3"/>
      <c r="F176" s="3"/>
    </row>
    <row r="186" spans="2:6" ht="10.5" customHeight="1">
      <c r="F186" s="3"/>
    </row>
    <row r="187" spans="2:6">
      <c r="B187" s="3"/>
      <c r="C187" s="3"/>
      <c r="D187" s="3"/>
      <c r="F187" s="3"/>
    </row>
  </sheetData>
  <printOptions horizontalCentered="1"/>
  <pageMargins left="0" right="0" top="0.25" bottom="0.25" header="0.5" footer="0"/>
  <pageSetup scale="53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112"/>
  <sheetViews>
    <sheetView tabSelected="1" topLeftCell="A79" zoomScale="75" workbookViewId="0">
      <selection activeCell="D102" sqref="D102"/>
    </sheetView>
  </sheetViews>
  <sheetFormatPr defaultColWidth="9.109375" defaultRowHeight="10.199999999999999"/>
  <cols>
    <col min="1" max="1" width="22.44140625" style="1" customWidth="1"/>
    <col min="2" max="2" width="15" style="1" customWidth="1"/>
    <col min="3" max="3" width="14.6640625" style="1" customWidth="1"/>
    <col min="4" max="4" width="15" style="1" customWidth="1"/>
    <col min="5" max="5" width="14.6640625" style="1" customWidth="1"/>
    <col min="6" max="8" width="12.5546875" style="1" bestFit="1" customWidth="1"/>
    <col min="9" max="9" width="14.109375" style="1" customWidth="1"/>
    <col min="10" max="10" width="13.6640625" style="1" bestFit="1" customWidth="1"/>
    <col min="11" max="12" width="12.5546875" style="1" bestFit="1" customWidth="1"/>
    <col min="13" max="13" width="15.33203125" style="1" customWidth="1"/>
    <col min="14" max="14" width="12.5546875" style="1" customWidth="1"/>
    <col min="15" max="18" width="12.5546875" style="1" hidden="1" customWidth="1"/>
    <col min="19" max="23" width="9.88671875" style="1" hidden="1" customWidth="1"/>
    <col min="24" max="24" width="17.6640625" style="1" customWidth="1"/>
    <col min="25" max="25" width="15.109375" style="1" customWidth="1"/>
    <col min="26" max="26" width="13.109375" style="1" customWidth="1"/>
    <col min="27" max="16384" width="9.109375" style="1"/>
  </cols>
  <sheetData>
    <row r="1" spans="1:24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</row>
    <row r="2" spans="1:24" ht="13.2">
      <c r="A2" s="125">
        <f>+Z36-AA36+Z37-AA37+Z52+Z54+Y75+Y76+Y77+Z86+Y89+Z105+Z106+Z107+Z42-AA42+Z43-AA43</f>
        <v>0</v>
      </c>
      <c r="D2" s="124" t="s">
        <v>177</v>
      </c>
    </row>
    <row r="3" spans="1:24" ht="15.6">
      <c r="A3" s="5" t="s">
        <v>4</v>
      </c>
      <c r="B3" s="6" t="str">
        <f>+'Input Sheet'!C1</f>
        <v>TW Compressor Monetization</v>
      </c>
    </row>
    <row r="4" spans="1:24" ht="10.8" thickBot="1"/>
    <row r="5" spans="1:24">
      <c r="B5" s="117" t="s">
        <v>165</v>
      </c>
      <c r="C5" s="118" t="s">
        <v>2</v>
      </c>
      <c r="D5" s="135" t="s">
        <v>139</v>
      </c>
      <c r="E5" s="118" t="s">
        <v>166</v>
      </c>
      <c r="F5" s="118" t="s">
        <v>171</v>
      </c>
      <c r="G5" s="137" t="s">
        <v>172</v>
      </c>
      <c r="H5" s="140" t="s">
        <v>3</v>
      </c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</row>
    <row r="6" spans="1:24">
      <c r="A6" s="44" t="s">
        <v>173</v>
      </c>
      <c r="B6" s="119">
        <f>+'Input Sheet'!C49</f>
        <v>0</v>
      </c>
      <c r="C6" s="126">
        <f>+'Input Sheet'!D49</f>
        <v>0</v>
      </c>
      <c r="D6" s="134">
        <f>+'Input Sheet'!E49</f>
        <v>0</v>
      </c>
      <c r="E6" s="120">
        <f>+'Input Sheet'!F49</f>
        <v>0</v>
      </c>
      <c r="F6" s="120">
        <f>+'Input Sheet'!G49</f>
        <v>7</v>
      </c>
      <c r="G6" s="138">
        <f>+'Input Sheet'!H49</f>
        <v>0</v>
      </c>
      <c r="H6" s="141">
        <f>+'Input Sheet'!I49</f>
        <v>0</v>
      </c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</row>
    <row r="7" spans="1:24" ht="10.8" thickBot="1">
      <c r="A7" s="44" t="s">
        <v>174</v>
      </c>
      <c r="B7" s="121">
        <f>+'Input Sheet'!C50</f>
        <v>0</v>
      </c>
      <c r="C7" s="127">
        <f>+'Input Sheet'!D50</f>
        <v>0</v>
      </c>
      <c r="D7" s="136">
        <f>+'Input Sheet'!E50</f>
        <v>0</v>
      </c>
      <c r="E7" s="122">
        <f>+'Input Sheet'!F50</f>
        <v>0</v>
      </c>
      <c r="F7" s="122">
        <f>+'Input Sheet'!G50</f>
        <v>7</v>
      </c>
      <c r="G7" s="139">
        <f>+'Input Sheet'!H50</f>
        <v>0</v>
      </c>
      <c r="H7" s="142">
        <f>+'Input Sheet'!I50</f>
        <v>0</v>
      </c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</row>
    <row r="8" spans="1:24">
      <c r="X8" s="67"/>
    </row>
    <row r="9" spans="1:24">
      <c r="A9" s="148" t="s">
        <v>175</v>
      </c>
      <c r="B9" s="149">
        <f>+B66</f>
        <v>8.2168991853144621E-2</v>
      </c>
      <c r="D9" s="3"/>
      <c r="E9" s="70"/>
      <c r="F9" s="7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>
      <c r="A10" s="3"/>
      <c r="B10" s="3"/>
      <c r="C10" s="72"/>
      <c r="D10" s="3"/>
      <c r="E10" s="3"/>
      <c r="F10" s="7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5.6">
      <c r="A11" s="131" t="s">
        <v>180</v>
      </c>
      <c r="C11"/>
      <c r="D11" s="3"/>
      <c r="E11" s="3"/>
      <c r="F11" s="7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3.2">
      <c r="A12" s="199" t="s">
        <v>182</v>
      </c>
      <c r="B12" s="202" t="s">
        <v>181</v>
      </c>
      <c r="C12" s="199" t="s">
        <v>175</v>
      </c>
      <c r="D12" s="202" t="s">
        <v>181</v>
      </c>
      <c r="E12" s="199" t="s">
        <v>187</v>
      </c>
      <c r="F12" s="7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6.5" customHeight="1">
      <c r="A13" s="200">
        <v>0</v>
      </c>
      <c r="B13" s="203">
        <f>+'Input Sheet'!D21</f>
        <v>14800000</v>
      </c>
      <c r="C13" s="212">
        <f>IRR(C66:W66)</f>
        <v>8.2168991853144621E-2</v>
      </c>
      <c r="D13" s="208">
        <f>+B13</f>
        <v>14800000</v>
      </c>
      <c r="E13" s="209">
        <f>NPV(0.095,C66:W66)</f>
        <v>-29920.477710593521</v>
      </c>
      <c r="F13" s="7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6.5" customHeight="1">
      <c r="A14" s="200">
        <f>(+B14-$B$13)/$B$13</f>
        <v>0.10135135135135136</v>
      </c>
      <c r="B14" s="206">
        <v>16300000</v>
      </c>
      <c r="C14" s="213" t="e">
        <f t="dataTable" ref="C14:C16" dt2D="0" dtr="0" r1="C25" ca="1"/>
        <v>#DIV/0!</v>
      </c>
      <c r="D14" s="203">
        <f>+B14</f>
        <v>16300000</v>
      </c>
      <c r="E14" s="209">
        <f t="dataTable" ref="E14:E16" dt2D="0" dtr="0" r1="C25"/>
        <v>-865021.25223771855</v>
      </c>
      <c r="F14" s="7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6.5" customHeight="1">
      <c r="A15" s="200">
        <f>(+B15-$B$13)/$B$13</f>
        <v>0.14864864864864866</v>
      </c>
      <c r="B15" s="206">
        <v>17000000</v>
      </c>
      <c r="C15" s="212" t="e">
        <v>#DIV/0!</v>
      </c>
      <c r="D15" s="203">
        <f>+B15</f>
        <v>17000000</v>
      </c>
      <c r="E15" s="209">
        <v>-1254734.9470170452</v>
      </c>
      <c r="F15" s="7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6.5" customHeight="1">
      <c r="A16" s="201">
        <f>(+B16-$B$13)/$B$13</f>
        <v>0.20270270270270271</v>
      </c>
      <c r="B16" s="207">
        <v>17800000</v>
      </c>
      <c r="C16" s="214" t="e">
        <v>#DIV/0!</v>
      </c>
      <c r="D16" s="204">
        <f>+B16</f>
        <v>17800000</v>
      </c>
      <c r="E16" s="210">
        <v>-1700122.0267648455</v>
      </c>
      <c r="F16" s="7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5" ht="13.2">
      <c r="A17" s="132"/>
      <c r="B17" s="133"/>
      <c r="C17" s="205"/>
      <c r="D17" s="3"/>
      <c r="E17" s="3"/>
      <c r="F17" s="7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5">
      <c r="A18" s="44" t="s">
        <v>18</v>
      </c>
      <c r="B18" s="146" t="s">
        <v>183</v>
      </c>
      <c r="C18" s="145"/>
      <c r="D18" s="7"/>
      <c r="E18" s="3"/>
      <c r="F18" s="70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71"/>
    </row>
    <row r="19" spans="1:25">
      <c r="A19" s="44" t="s">
        <v>19</v>
      </c>
      <c r="B19" s="147">
        <f>+'Input Sheet'!C7</f>
        <v>0</v>
      </c>
      <c r="D19" s="3"/>
      <c r="E19" s="3"/>
      <c r="F19" s="70"/>
      <c r="G19" s="3"/>
      <c r="H19" s="3"/>
      <c r="I19" s="3"/>
      <c r="J19" s="70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5">
      <c r="A20" s="44" t="str">
        <f>+'Input Sheet'!A8</f>
        <v>Ciac With Gross Up</v>
      </c>
      <c r="B20" s="147">
        <f>+'Input Sheet'!C8</f>
        <v>0</v>
      </c>
      <c r="D20" s="3"/>
      <c r="E20" s="3"/>
      <c r="F20" s="70"/>
      <c r="G20" s="3"/>
      <c r="H20" s="3"/>
      <c r="I20" s="3"/>
      <c r="J20" s="70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5">
      <c r="C21" s="72"/>
      <c r="D21" s="3"/>
      <c r="E21" s="3"/>
      <c r="F21" s="7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5">
      <c r="A22" s="3"/>
      <c r="B22" s="143" t="s">
        <v>16</v>
      </c>
      <c r="C22" s="75" t="s">
        <v>5</v>
      </c>
      <c r="D22" s="75" t="s">
        <v>6</v>
      </c>
      <c r="E22" s="75" t="s">
        <v>7</v>
      </c>
      <c r="F22" s="75" t="s">
        <v>8</v>
      </c>
      <c r="G22" s="75" t="s">
        <v>9</v>
      </c>
      <c r="H22" s="75" t="s">
        <v>10</v>
      </c>
      <c r="I22" s="75" t="s">
        <v>11</v>
      </c>
      <c r="J22" s="75" t="s">
        <v>12</v>
      </c>
      <c r="K22" s="75" t="s">
        <v>13</v>
      </c>
      <c r="L22" s="75" t="s">
        <v>14</v>
      </c>
      <c r="M22" s="75" t="s">
        <v>15</v>
      </c>
      <c r="N22" s="75" t="s">
        <v>142</v>
      </c>
      <c r="O22" s="75" t="s">
        <v>143</v>
      </c>
      <c r="P22" s="75" t="s">
        <v>144</v>
      </c>
      <c r="Q22" s="75" t="s">
        <v>145</v>
      </c>
      <c r="R22" s="75" t="s">
        <v>146</v>
      </c>
      <c r="S22" s="75" t="s">
        <v>153</v>
      </c>
      <c r="T22" s="75" t="s">
        <v>159</v>
      </c>
      <c r="U22" s="75" t="s">
        <v>160</v>
      </c>
      <c r="V22" s="75" t="s">
        <v>161</v>
      </c>
      <c r="W22" s="75" t="s">
        <v>162</v>
      </c>
      <c r="X22" s="75" t="s">
        <v>169</v>
      </c>
      <c r="Y22" s="67" t="s">
        <v>20</v>
      </c>
    </row>
    <row r="23" spans="1:25">
      <c r="A23" s="144" t="s">
        <v>17</v>
      </c>
      <c r="B23" s="69">
        <f>+'Input Sheet'!C16</f>
        <v>0.9</v>
      </c>
      <c r="C23" s="70">
        <f t="shared" ref="C23:W23" si="0">C28*$B$23</f>
        <v>13320000</v>
      </c>
      <c r="D23" s="70">
        <f t="shared" si="0"/>
        <v>0</v>
      </c>
      <c r="E23" s="70">
        <f t="shared" si="0"/>
        <v>0</v>
      </c>
      <c r="F23" s="70">
        <f t="shared" si="0"/>
        <v>0</v>
      </c>
      <c r="G23" s="70">
        <f t="shared" si="0"/>
        <v>0</v>
      </c>
      <c r="H23" s="70">
        <f t="shared" si="0"/>
        <v>0</v>
      </c>
      <c r="I23" s="70">
        <f t="shared" si="0"/>
        <v>0</v>
      </c>
      <c r="J23" s="70">
        <f t="shared" si="0"/>
        <v>0</v>
      </c>
      <c r="K23" s="70">
        <f t="shared" si="0"/>
        <v>0</v>
      </c>
      <c r="L23" s="70">
        <f t="shared" si="0"/>
        <v>0</v>
      </c>
      <c r="M23" s="70">
        <f t="shared" si="0"/>
        <v>0</v>
      </c>
      <c r="N23" s="70">
        <f t="shared" si="0"/>
        <v>0</v>
      </c>
      <c r="O23" s="70">
        <f t="shared" si="0"/>
        <v>0</v>
      </c>
      <c r="P23" s="70">
        <f t="shared" si="0"/>
        <v>0</v>
      </c>
      <c r="Q23" s="70">
        <f t="shared" si="0"/>
        <v>0</v>
      </c>
      <c r="R23" s="70">
        <f t="shared" si="0"/>
        <v>0</v>
      </c>
      <c r="S23" s="70">
        <f t="shared" si="0"/>
        <v>0</v>
      </c>
      <c r="T23" s="70">
        <f t="shared" si="0"/>
        <v>0</v>
      </c>
      <c r="U23" s="70">
        <f t="shared" si="0"/>
        <v>0</v>
      </c>
      <c r="V23" s="70">
        <f t="shared" si="0"/>
        <v>0</v>
      </c>
      <c r="W23" s="70">
        <f t="shared" si="0"/>
        <v>0</v>
      </c>
      <c r="X23" s="70">
        <f>SUM(N23:W23)</f>
        <v>0</v>
      </c>
      <c r="Y23" s="71">
        <f>SUM(C23:M23)</f>
        <v>13320000</v>
      </c>
    </row>
    <row r="24" spans="1:25">
      <c r="A24" s="144" t="s">
        <v>170</v>
      </c>
      <c r="B24" s="69">
        <f>1-B23</f>
        <v>9.9999999999999978E-2</v>
      </c>
      <c r="C24" s="70">
        <f t="shared" ref="C24:W24" si="1">+C28*(1-$B$23)</f>
        <v>1479999.9999999998</v>
      </c>
      <c r="D24" s="70">
        <f t="shared" si="1"/>
        <v>0</v>
      </c>
      <c r="E24" s="70">
        <f t="shared" si="1"/>
        <v>0</v>
      </c>
      <c r="F24" s="70">
        <f t="shared" si="1"/>
        <v>0</v>
      </c>
      <c r="G24" s="70">
        <f t="shared" si="1"/>
        <v>0</v>
      </c>
      <c r="H24" s="70">
        <f t="shared" si="1"/>
        <v>0</v>
      </c>
      <c r="I24" s="70">
        <f t="shared" si="1"/>
        <v>0</v>
      </c>
      <c r="J24" s="70">
        <f t="shared" si="1"/>
        <v>0</v>
      </c>
      <c r="K24" s="70">
        <f t="shared" si="1"/>
        <v>0</v>
      </c>
      <c r="L24" s="70">
        <f t="shared" si="1"/>
        <v>0</v>
      </c>
      <c r="M24" s="70">
        <f t="shared" si="1"/>
        <v>0</v>
      </c>
      <c r="N24" s="70">
        <f t="shared" si="1"/>
        <v>0</v>
      </c>
      <c r="O24" s="70">
        <f t="shared" si="1"/>
        <v>0</v>
      </c>
      <c r="P24" s="70">
        <f t="shared" si="1"/>
        <v>0</v>
      </c>
      <c r="Q24" s="70">
        <f t="shared" si="1"/>
        <v>0</v>
      </c>
      <c r="R24" s="70">
        <f t="shared" si="1"/>
        <v>0</v>
      </c>
      <c r="S24" s="70">
        <f t="shared" si="1"/>
        <v>0</v>
      </c>
      <c r="T24" s="70">
        <f t="shared" si="1"/>
        <v>0</v>
      </c>
      <c r="U24" s="70">
        <f t="shared" si="1"/>
        <v>0</v>
      </c>
      <c r="V24" s="70">
        <f t="shared" si="1"/>
        <v>0</v>
      </c>
      <c r="W24" s="70">
        <f t="shared" si="1"/>
        <v>0</v>
      </c>
      <c r="X24" s="70">
        <f>SUM(N24:W24)</f>
        <v>0</v>
      </c>
      <c r="Y24" s="71">
        <f>SUM(C24:M24)</f>
        <v>1479999.9999999998</v>
      </c>
    </row>
    <row r="25" spans="1:25">
      <c r="B25" s="1" t="s">
        <v>21</v>
      </c>
      <c r="C25" s="70">
        <f>+'Input Sheet'!D21</f>
        <v>14800000</v>
      </c>
      <c r="D25" s="70">
        <f>+'Input Sheet'!E21</f>
        <v>0</v>
      </c>
      <c r="E25" s="70">
        <f>+'Input Sheet'!F21</f>
        <v>0</v>
      </c>
      <c r="F25" s="70">
        <f>+'Input Sheet'!G21</f>
        <v>0</v>
      </c>
      <c r="G25" s="70">
        <f>+'Input Sheet'!H21</f>
        <v>0</v>
      </c>
      <c r="H25" s="70">
        <f>+'Input Sheet'!I21</f>
        <v>0</v>
      </c>
      <c r="I25" s="70">
        <f>+'Input Sheet'!J21</f>
        <v>0</v>
      </c>
      <c r="J25" s="70">
        <f>+'Input Sheet'!K21</f>
        <v>0</v>
      </c>
      <c r="K25" s="70">
        <f>+'Input Sheet'!L21</f>
        <v>0</v>
      </c>
      <c r="L25" s="70">
        <f>+'Input Sheet'!M21</f>
        <v>0</v>
      </c>
      <c r="M25" s="70">
        <f>+'Input Sheet'!N21</f>
        <v>0</v>
      </c>
      <c r="N25" s="70">
        <f>+'Input Sheet'!O21</f>
        <v>0</v>
      </c>
      <c r="O25" s="70">
        <f>+'Input Sheet'!P21</f>
        <v>0</v>
      </c>
      <c r="P25" s="70">
        <f>+'Input Sheet'!Q21</f>
        <v>0</v>
      </c>
      <c r="Q25" s="70">
        <f>+'Input Sheet'!R21</f>
        <v>0</v>
      </c>
      <c r="R25" s="70">
        <f>+'Input Sheet'!S21</f>
        <v>0</v>
      </c>
      <c r="S25" s="70">
        <f>+'Input Sheet'!T21</f>
        <v>0</v>
      </c>
      <c r="T25" s="70">
        <f>+'Input Sheet'!U21</f>
        <v>0</v>
      </c>
      <c r="U25" s="70">
        <f>+'Input Sheet'!V21</f>
        <v>0</v>
      </c>
      <c r="V25" s="70">
        <f>+'Input Sheet'!W21</f>
        <v>0</v>
      </c>
      <c r="W25" s="70">
        <f>+'Input Sheet'!X21</f>
        <v>0</v>
      </c>
      <c r="X25" s="70"/>
      <c r="Y25" s="82">
        <f>SUM(C25:W25)</f>
        <v>14800000</v>
      </c>
    </row>
    <row r="26" spans="1:25">
      <c r="B26" s="8" t="s">
        <v>22</v>
      </c>
      <c r="C26" s="70">
        <f>C27</f>
        <v>0</v>
      </c>
      <c r="D26" s="70">
        <f t="shared" ref="D26:M26" si="2">(0.858369099*D25)*0.015</f>
        <v>0</v>
      </c>
      <c r="E26" s="70">
        <f t="shared" si="2"/>
        <v>0</v>
      </c>
      <c r="F26" s="70">
        <f t="shared" si="2"/>
        <v>0</v>
      </c>
      <c r="G26" s="70">
        <f t="shared" si="2"/>
        <v>0</v>
      </c>
      <c r="H26" s="70">
        <f t="shared" si="2"/>
        <v>0</v>
      </c>
      <c r="I26" s="70">
        <f t="shared" si="2"/>
        <v>0</v>
      </c>
      <c r="J26" s="70">
        <f t="shared" si="2"/>
        <v>0</v>
      </c>
      <c r="K26" s="70">
        <f t="shared" si="2"/>
        <v>0</v>
      </c>
      <c r="L26" s="70">
        <f t="shared" si="2"/>
        <v>0</v>
      </c>
      <c r="M26" s="70">
        <f t="shared" si="2"/>
        <v>0</v>
      </c>
      <c r="N26" s="70">
        <f t="shared" ref="N26:W26" si="3">(0.858369099*N25)*0.015</f>
        <v>0</v>
      </c>
      <c r="O26" s="70">
        <f t="shared" si="3"/>
        <v>0</v>
      </c>
      <c r="P26" s="70">
        <f t="shared" si="3"/>
        <v>0</v>
      </c>
      <c r="Q26" s="70">
        <f t="shared" si="3"/>
        <v>0</v>
      </c>
      <c r="R26" s="70">
        <f t="shared" si="3"/>
        <v>0</v>
      </c>
      <c r="S26" s="70">
        <f t="shared" si="3"/>
        <v>0</v>
      </c>
      <c r="T26" s="70">
        <f t="shared" si="3"/>
        <v>0</v>
      </c>
      <c r="U26" s="70">
        <f t="shared" si="3"/>
        <v>0</v>
      </c>
      <c r="V26" s="70">
        <f t="shared" si="3"/>
        <v>0</v>
      </c>
      <c r="W26" s="70">
        <f t="shared" si="3"/>
        <v>0</v>
      </c>
      <c r="X26" s="70"/>
      <c r="Y26" s="82">
        <f>SUM(C26:W26)</f>
        <v>0</v>
      </c>
    </row>
    <row r="27" spans="1:25">
      <c r="B27" s="8" t="s">
        <v>23</v>
      </c>
      <c r="C27" s="70"/>
      <c r="D27" s="70">
        <f t="shared" ref="D27:M27" si="4">(0.858369099*D25)*0.15</f>
        <v>0</v>
      </c>
      <c r="E27" s="70">
        <f t="shared" si="4"/>
        <v>0</v>
      </c>
      <c r="F27" s="70">
        <f t="shared" si="4"/>
        <v>0</v>
      </c>
      <c r="G27" s="70">
        <f t="shared" si="4"/>
        <v>0</v>
      </c>
      <c r="H27" s="70">
        <f t="shared" si="4"/>
        <v>0</v>
      </c>
      <c r="I27" s="70">
        <f t="shared" si="4"/>
        <v>0</v>
      </c>
      <c r="J27" s="70">
        <f t="shared" si="4"/>
        <v>0</v>
      </c>
      <c r="K27" s="70">
        <f t="shared" si="4"/>
        <v>0</v>
      </c>
      <c r="L27" s="70">
        <f t="shared" si="4"/>
        <v>0</v>
      </c>
      <c r="M27" s="70">
        <f t="shared" si="4"/>
        <v>0</v>
      </c>
      <c r="N27" s="70">
        <f t="shared" ref="N27:W27" si="5">(0.858369099*N25)*0.15</f>
        <v>0</v>
      </c>
      <c r="O27" s="70">
        <f t="shared" si="5"/>
        <v>0</v>
      </c>
      <c r="P27" s="70">
        <f t="shared" si="5"/>
        <v>0</v>
      </c>
      <c r="Q27" s="70">
        <f t="shared" si="5"/>
        <v>0</v>
      </c>
      <c r="R27" s="70">
        <f t="shared" si="5"/>
        <v>0</v>
      </c>
      <c r="S27" s="70">
        <f t="shared" si="5"/>
        <v>0</v>
      </c>
      <c r="T27" s="70">
        <f t="shared" si="5"/>
        <v>0</v>
      </c>
      <c r="U27" s="70">
        <f t="shared" si="5"/>
        <v>0</v>
      </c>
      <c r="V27" s="70">
        <f t="shared" si="5"/>
        <v>0</v>
      </c>
      <c r="W27" s="70">
        <f t="shared" si="5"/>
        <v>0</v>
      </c>
      <c r="X27" s="70"/>
      <c r="Y27" s="82">
        <f>SUM(C27:W27)</f>
        <v>0</v>
      </c>
    </row>
    <row r="28" spans="1:25">
      <c r="B28" s="1" t="s">
        <v>24</v>
      </c>
      <c r="C28" s="70">
        <f>+C25-C26-C27</f>
        <v>14800000</v>
      </c>
      <c r="D28" s="70">
        <f t="shared" ref="D28:M28" si="6">+D25-D26-D27</f>
        <v>0</v>
      </c>
      <c r="E28" s="70">
        <f t="shared" si="6"/>
        <v>0</v>
      </c>
      <c r="F28" s="70">
        <f t="shared" si="6"/>
        <v>0</v>
      </c>
      <c r="G28" s="70">
        <f t="shared" si="6"/>
        <v>0</v>
      </c>
      <c r="H28" s="70">
        <f t="shared" si="6"/>
        <v>0</v>
      </c>
      <c r="I28" s="70">
        <f t="shared" si="6"/>
        <v>0</v>
      </c>
      <c r="J28" s="70">
        <f t="shared" si="6"/>
        <v>0</v>
      </c>
      <c r="K28" s="70">
        <f t="shared" si="6"/>
        <v>0</v>
      </c>
      <c r="L28" s="70">
        <f t="shared" si="6"/>
        <v>0</v>
      </c>
      <c r="M28" s="70">
        <f t="shared" si="6"/>
        <v>0</v>
      </c>
      <c r="N28" s="70">
        <f t="shared" ref="N28:W28" si="7">+N25-N26-N27</f>
        <v>0</v>
      </c>
      <c r="O28" s="70">
        <f t="shared" si="7"/>
        <v>0</v>
      </c>
      <c r="P28" s="70">
        <f t="shared" si="7"/>
        <v>0</v>
      </c>
      <c r="Q28" s="70">
        <f t="shared" si="7"/>
        <v>0</v>
      </c>
      <c r="R28" s="70">
        <f t="shared" si="7"/>
        <v>0</v>
      </c>
      <c r="S28" s="70">
        <f t="shared" si="7"/>
        <v>0</v>
      </c>
      <c r="T28" s="70">
        <f t="shared" si="7"/>
        <v>0</v>
      </c>
      <c r="U28" s="70">
        <f t="shared" si="7"/>
        <v>0</v>
      </c>
      <c r="V28" s="70">
        <f t="shared" si="7"/>
        <v>0</v>
      </c>
      <c r="W28" s="70">
        <f t="shared" si="7"/>
        <v>0</v>
      </c>
      <c r="X28" s="70"/>
      <c r="Y28" s="82">
        <f>SUM(C28:W28)</f>
        <v>14800000</v>
      </c>
    </row>
    <row r="29" spans="1:25">
      <c r="B29" s="1" t="s">
        <v>25</v>
      </c>
      <c r="C29" s="70"/>
      <c r="D29" s="70">
        <f t="shared" ref="D29:L29" si="8">+D19</f>
        <v>0</v>
      </c>
      <c r="E29" s="70">
        <f t="shared" si="8"/>
        <v>0</v>
      </c>
      <c r="F29" s="70">
        <v>0</v>
      </c>
      <c r="G29" s="70">
        <f t="shared" si="8"/>
        <v>0</v>
      </c>
      <c r="H29" s="70">
        <f t="shared" si="8"/>
        <v>0</v>
      </c>
      <c r="I29" s="70">
        <f t="shared" si="8"/>
        <v>0</v>
      </c>
      <c r="J29" s="70">
        <v>0</v>
      </c>
      <c r="K29" s="70">
        <f t="shared" si="8"/>
        <v>0</v>
      </c>
      <c r="L29" s="70">
        <f t="shared" si="8"/>
        <v>0</v>
      </c>
      <c r="M29" s="70">
        <f t="shared" ref="M29:W29" si="9">+M19</f>
        <v>0</v>
      </c>
      <c r="N29" s="70">
        <f t="shared" si="9"/>
        <v>0</v>
      </c>
      <c r="O29" s="70">
        <f t="shared" si="9"/>
        <v>0</v>
      </c>
      <c r="P29" s="70">
        <f t="shared" si="9"/>
        <v>0</v>
      </c>
      <c r="Q29" s="70">
        <f t="shared" si="9"/>
        <v>0</v>
      </c>
      <c r="R29" s="70">
        <f t="shared" si="9"/>
        <v>0</v>
      </c>
      <c r="S29" s="70">
        <f t="shared" si="9"/>
        <v>0</v>
      </c>
      <c r="T29" s="70">
        <f t="shared" si="9"/>
        <v>0</v>
      </c>
      <c r="U29" s="70">
        <f t="shared" si="9"/>
        <v>0</v>
      </c>
      <c r="V29" s="70">
        <f t="shared" si="9"/>
        <v>0</v>
      </c>
      <c r="W29" s="70">
        <f t="shared" si="9"/>
        <v>0</v>
      </c>
      <c r="X29" s="70"/>
      <c r="Y29" s="82">
        <f>SUM(C29:W29)</f>
        <v>0</v>
      </c>
    </row>
    <row r="30" spans="1:25">
      <c r="C30" s="76"/>
      <c r="D30" s="76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5" ht="13.2">
      <c r="A31" s="8" t="s">
        <v>26</v>
      </c>
      <c r="B31" s="3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>
        <v>0</v>
      </c>
      <c r="N31" s="77">
        <v>1</v>
      </c>
      <c r="O31" s="77">
        <v>2</v>
      </c>
      <c r="P31" s="77">
        <v>3</v>
      </c>
      <c r="Q31" s="77">
        <v>4</v>
      </c>
      <c r="R31" s="77">
        <v>5</v>
      </c>
      <c r="S31" s="77">
        <v>6</v>
      </c>
      <c r="T31" s="77">
        <v>7</v>
      </c>
      <c r="U31" s="77">
        <v>8</v>
      </c>
      <c r="V31" s="77">
        <v>9</v>
      </c>
      <c r="W31" s="77">
        <v>10</v>
      </c>
      <c r="X31" s="77"/>
      <c r="Y31" s="78">
        <f>SUM(C31:M31)</f>
        <v>0</v>
      </c>
    </row>
    <row r="32" spans="1:25">
      <c r="A32" s="8" t="s">
        <v>27</v>
      </c>
      <c r="B32" s="3"/>
    </row>
    <row r="33" spans="1:46">
      <c r="A33" s="107" t="s">
        <v>167</v>
      </c>
      <c r="B33" s="3"/>
      <c r="C33" s="80"/>
      <c r="D33" s="80">
        <f>+'Input Sheet'!D51+'Input Sheet'!D59+'Input Sheet'!D67</f>
        <v>0</v>
      </c>
      <c r="E33" s="80">
        <f>+'Input Sheet'!E51+'Input Sheet'!E59+'Input Sheet'!E67</f>
        <v>0</v>
      </c>
      <c r="F33" s="80">
        <f>+'Input Sheet'!F51+'Input Sheet'!F59+'Input Sheet'!F67</f>
        <v>0</v>
      </c>
      <c r="G33" s="80">
        <f>+'Input Sheet'!G51+'Input Sheet'!G59+'Input Sheet'!G67</f>
        <v>0</v>
      </c>
      <c r="H33" s="80">
        <f>+'Input Sheet'!H51+'Input Sheet'!H59+'Input Sheet'!H67</f>
        <v>0</v>
      </c>
      <c r="I33" s="80">
        <f>+'Input Sheet'!I51+'Input Sheet'!I59+'Input Sheet'!I67</f>
        <v>0</v>
      </c>
      <c r="J33" s="80">
        <f>+'Input Sheet'!J51+'Input Sheet'!J59+'Input Sheet'!J67</f>
        <v>0</v>
      </c>
      <c r="K33" s="80">
        <f>+'Input Sheet'!K51+'Input Sheet'!K59+'Input Sheet'!K67</f>
        <v>0</v>
      </c>
      <c r="L33" s="80">
        <f>+'Input Sheet'!L51+'Input Sheet'!L59+'Input Sheet'!L67</f>
        <v>0</v>
      </c>
      <c r="M33" s="80">
        <f>+'Input Sheet'!M51+'Input Sheet'!M59+'Input Sheet'!M67</f>
        <v>0</v>
      </c>
      <c r="N33" s="80">
        <f>+'Input Sheet'!N51+'Input Sheet'!N59+'Input Sheet'!N67</f>
        <v>0</v>
      </c>
      <c r="O33" s="80">
        <f>+'Input Sheet'!O51+'Input Sheet'!O59+'Input Sheet'!O67</f>
        <v>0</v>
      </c>
      <c r="P33" s="80">
        <f>+'Input Sheet'!P51+'Input Sheet'!P59+'Input Sheet'!P67</f>
        <v>0</v>
      </c>
      <c r="Q33" s="80">
        <f>+'Input Sheet'!Q51+'Input Sheet'!Q59+'Input Sheet'!Q67</f>
        <v>0</v>
      </c>
      <c r="R33" s="80">
        <f>+'Input Sheet'!R51+'Input Sheet'!R59+'Input Sheet'!R67</f>
        <v>0</v>
      </c>
      <c r="S33" s="80">
        <f>+'Input Sheet'!S51+'Input Sheet'!S59+'Input Sheet'!S67</f>
        <v>0</v>
      </c>
      <c r="T33" s="80">
        <f>+'Input Sheet'!T51+'Input Sheet'!T59+'Input Sheet'!T67</f>
        <v>0</v>
      </c>
      <c r="U33" s="80">
        <f>+'Input Sheet'!U51+'Input Sheet'!U59+'Input Sheet'!U67</f>
        <v>0</v>
      </c>
      <c r="V33" s="80">
        <f>+'Input Sheet'!V51+'Input Sheet'!V59+'Input Sheet'!V67</f>
        <v>0</v>
      </c>
      <c r="W33" s="80">
        <f>+'Input Sheet'!W51+'Input Sheet'!W59+'Input Sheet'!W67</f>
        <v>0</v>
      </c>
      <c r="X33" s="80">
        <f>SUM(N33:W33)</f>
        <v>0</v>
      </c>
      <c r="Y33" s="78">
        <f>SUM(C33:W33)</f>
        <v>0</v>
      </c>
      <c r="Z33" s="87">
        <f>+D33*'Input Sheet'!$F$49</f>
        <v>0</v>
      </c>
      <c r="AA33" s="87">
        <f>+E33*'Input Sheet'!$F$49</f>
        <v>0</v>
      </c>
      <c r="AB33" s="87">
        <f>+F33*'Input Sheet'!$F$49</f>
        <v>0</v>
      </c>
      <c r="AC33" s="87">
        <f>+G33*'Input Sheet'!$F$49</f>
        <v>0</v>
      </c>
      <c r="AD33" s="87">
        <f>+H33*'Input Sheet'!$F$49</f>
        <v>0</v>
      </c>
      <c r="AE33" s="87">
        <f>+I33*'Input Sheet'!$F$49</f>
        <v>0</v>
      </c>
      <c r="AF33" s="87">
        <f>+J33*'Input Sheet'!$F$49</f>
        <v>0</v>
      </c>
      <c r="AG33" s="87">
        <f>+K33*'Input Sheet'!$F$49</f>
        <v>0</v>
      </c>
      <c r="AH33" s="87">
        <f>+L33*'Input Sheet'!$F$49</f>
        <v>0</v>
      </c>
      <c r="AI33" s="87">
        <f>+M33*'Input Sheet'!$F$49</f>
        <v>0</v>
      </c>
      <c r="AJ33" s="87">
        <f>+N33*'Input Sheet'!$F$49</f>
        <v>0</v>
      </c>
      <c r="AK33" s="87">
        <f>+O33*'Input Sheet'!$F$49</f>
        <v>0</v>
      </c>
      <c r="AL33" s="87">
        <f>+P33*'Input Sheet'!$F$49</f>
        <v>0</v>
      </c>
      <c r="AM33" s="87">
        <f>+Q33*'Input Sheet'!$F$49</f>
        <v>0</v>
      </c>
      <c r="AN33" s="87">
        <f>+R33*'Input Sheet'!$F$49</f>
        <v>0</v>
      </c>
      <c r="AO33" s="87">
        <f>+S33*'Input Sheet'!$F$49</f>
        <v>0</v>
      </c>
      <c r="AP33" s="87">
        <f>+T33*'Input Sheet'!$F$49</f>
        <v>0</v>
      </c>
      <c r="AQ33" s="87">
        <f>+U33*'Input Sheet'!$F$49</f>
        <v>0</v>
      </c>
      <c r="AR33" s="87">
        <f>+V33*'Input Sheet'!$F$49</f>
        <v>0</v>
      </c>
      <c r="AS33" s="87">
        <f>+W33*'Input Sheet'!$F$49</f>
        <v>0</v>
      </c>
      <c r="AT33" s="87">
        <f>SUM(Z33:AS33)</f>
        <v>0</v>
      </c>
    </row>
    <row r="34" spans="1:46">
      <c r="A34" s="107" t="s">
        <v>168</v>
      </c>
      <c r="B34" s="3"/>
      <c r="C34" s="80"/>
      <c r="D34" s="80">
        <f>+'Input Sheet'!D52+'Input Sheet'!D60+'Input Sheet'!D68</f>
        <v>0</v>
      </c>
      <c r="E34" s="80">
        <f>+'Input Sheet'!E52+'Input Sheet'!E60+'Input Sheet'!E68</f>
        <v>0</v>
      </c>
      <c r="F34" s="80">
        <f>+'Input Sheet'!F52+'Input Sheet'!F60+'Input Sheet'!F68</f>
        <v>0</v>
      </c>
      <c r="G34" s="80">
        <f>+'Input Sheet'!G52+'Input Sheet'!G60+'Input Sheet'!G68</f>
        <v>0</v>
      </c>
      <c r="H34" s="80">
        <f>+'Input Sheet'!H52+'Input Sheet'!H60+'Input Sheet'!H68</f>
        <v>0</v>
      </c>
      <c r="I34" s="80">
        <f>+'Input Sheet'!I52+'Input Sheet'!I60+'Input Sheet'!I68</f>
        <v>0</v>
      </c>
      <c r="J34" s="80">
        <f>+'Input Sheet'!J52+'Input Sheet'!J60+'Input Sheet'!J68</f>
        <v>0</v>
      </c>
      <c r="K34" s="80">
        <f>+'Input Sheet'!K52+'Input Sheet'!K60+'Input Sheet'!K68</f>
        <v>0</v>
      </c>
      <c r="L34" s="80">
        <f>+'Input Sheet'!L52+'Input Sheet'!L60+'Input Sheet'!L68</f>
        <v>0</v>
      </c>
      <c r="M34" s="80">
        <f>+'Input Sheet'!M52+'Input Sheet'!M60+'Input Sheet'!M68</f>
        <v>0</v>
      </c>
      <c r="N34" s="80">
        <f>+'Input Sheet'!N52+'Input Sheet'!N60+'Input Sheet'!N68</f>
        <v>0</v>
      </c>
      <c r="O34" s="80">
        <f>+'Input Sheet'!O52+'Input Sheet'!O60+'Input Sheet'!O68</f>
        <v>0</v>
      </c>
      <c r="P34" s="80">
        <f>+'Input Sheet'!P52+'Input Sheet'!P60+'Input Sheet'!P68</f>
        <v>0</v>
      </c>
      <c r="Q34" s="80">
        <f>+'Input Sheet'!Q52+'Input Sheet'!Q60+'Input Sheet'!Q68</f>
        <v>0</v>
      </c>
      <c r="R34" s="80">
        <f>+'Input Sheet'!R52+'Input Sheet'!R60+'Input Sheet'!R68</f>
        <v>0</v>
      </c>
      <c r="S34" s="80">
        <f>+'Input Sheet'!S52+'Input Sheet'!S60+'Input Sheet'!S68</f>
        <v>0</v>
      </c>
      <c r="T34" s="80">
        <f>+'Input Sheet'!T52+'Input Sheet'!T60+'Input Sheet'!T68</f>
        <v>0</v>
      </c>
      <c r="U34" s="80">
        <f>+'Input Sheet'!U52+'Input Sheet'!U60+'Input Sheet'!U68</f>
        <v>0</v>
      </c>
      <c r="V34" s="80">
        <f>+'Input Sheet'!V52+'Input Sheet'!V60+'Input Sheet'!V68</f>
        <v>0</v>
      </c>
      <c r="W34" s="80">
        <f>+'Input Sheet'!W52+'Input Sheet'!W60+'Input Sheet'!W68</f>
        <v>0</v>
      </c>
      <c r="X34" s="80">
        <f>SUM(N34:W34)</f>
        <v>0</v>
      </c>
      <c r="Y34" s="78">
        <f>SUM(C34:W34)</f>
        <v>0</v>
      </c>
      <c r="Z34" s="87">
        <f>+D34*'Input Sheet'!$F$50</f>
        <v>0</v>
      </c>
      <c r="AA34" s="87">
        <f>+E34*'Input Sheet'!$F$50</f>
        <v>0</v>
      </c>
      <c r="AB34" s="87">
        <f>+F34*'Input Sheet'!$F$50</f>
        <v>0</v>
      </c>
      <c r="AC34" s="87">
        <f>+G34*'Input Sheet'!$F$50</f>
        <v>0</v>
      </c>
      <c r="AD34" s="87">
        <f>+H34*'Input Sheet'!$F$50</f>
        <v>0</v>
      </c>
      <c r="AE34" s="87">
        <f>+I34*'Input Sheet'!$F$50</f>
        <v>0</v>
      </c>
      <c r="AF34" s="87">
        <f>+J34*'Input Sheet'!$F$50</f>
        <v>0</v>
      </c>
      <c r="AG34" s="87">
        <f>+K34*'Input Sheet'!$F$50</f>
        <v>0</v>
      </c>
      <c r="AH34" s="87">
        <f>+L34*'Input Sheet'!$F$50</f>
        <v>0</v>
      </c>
      <c r="AI34" s="87">
        <f>+M34*'Input Sheet'!$F$50</f>
        <v>0</v>
      </c>
      <c r="AJ34" s="87">
        <f>+N34*'Input Sheet'!$F$50</f>
        <v>0</v>
      </c>
      <c r="AK34" s="87">
        <f>+O34*'Input Sheet'!$F$50</f>
        <v>0</v>
      </c>
      <c r="AL34" s="87">
        <f>+P34*'Input Sheet'!$F$50</f>
        <v>0</v>
      </c>
      <c r="AM34" s="87">
        <f>+Q34*'Input Sheet'!$F$50</f>
        <v>0</v>
      </c>
      <c r="AN34" s="87">
        <f>+R34*'Input Sheet'!$F$50</f>
        <v>0</v>
      </c>
      <c r="AO34" s="87">
        <f>+S34*'Input Sheet'!$F$50</f>
        <v>0</v>
      </c>
      <c r="AP34" s="87">
        <f>+T34*'Input Sheet'!$F$50</f>
        <v>0</v>
      </c>
      <c r="AQ34" s="87">
        <f>+U34*'Input Sheet'!$F$50</f>
        <v>0</v>
      </c>
      <c r="AR34" s="87">
        <f>+V34*'Input Sheet'!$F$50</f>
        <v>0</v>
      </c>
      <c r="AS34" s="87">
        <f>+W34*'Input Sheet'!$F$50</f>
        <v>0</v>
      </c>
      <c r="AT34" s="87">
        <f>SUM(Z34:AS34)</f>
        <v>0</v>
      </c>
    </row>
    <row r="35" spans="1:46">
      <c r="A35" s="8" t="s">
        <v>28</v>
      </c>
      <c r="B35" s="3"/>
    </row>
    <row r="36" spans="1:46">
      <c r="A36" s="107" t="s">
        <v>167</v>
      </c>
      <c r="B36" s="3"/>
      <c r="C36" s="81"/>
      <c r="D36" s="81">
        <f>+'Input Sheet'!D53+'Input Sheet'!D61+'Input Sheet'!D69</f>
        <v>0</v>
      </c>
      <c r="E36" s="81">
        <f>+'Input Sheet'!E53+'Input Sheet'!E61+'Input Sheet'!E69</f>
        <v>0</v>
      </c>
      <c r="F36" s="81">
        <f>+'Input Sheet'!F53+'Input Sheet'!F61+'Input Sheet'!F69</f>
        <v>0</v>
      </c>
      <c r="G36" s="81">
        <f>+'Input Sheet'!G53+'Input Sheet'!G61+'Input Sheet'!G69</f>
        <v>0</v>
      </c>
      <c r="H36" s="81">
        <f>+'Input Sheet'!H53+'Input Sheet'!H61+'Input Sheet'!H69</f>
        <v>0</v>
      </c>
      <c r="I36" s="81">
        <f>+'Input Sheet'!I53+'Input Sheet'!I61+'Input Sheet'!I69</f>
        <v>0</v>
      </c>
      <c r="J36" s="81">
        <f>+'Input Sheet'!J53+'Input Sheet'!J61+'Input Sheet'!J69</f>
        <v>0</v>
      </c>
      <c r="K36" s="81">
        <f>+'Input Sheet'!K53+'Input Sheet'!K61+'Input Sheet'!K69</f>
        <v>0</v>
      </c>
      <c r="L36" s="81">
        <f>+'Input Sheet'!L53+'Input Sheet'!L61+'Input Sheet'!L69</f>
        <v>0</v>
      </c>
      <c r="M36" s="81">
        <f>+'Input Sheet'!M53+'Input Sheet'!M61+'Input Sheet'!M69</f>
        <v>0</v>
      </c>
      <c r="N36" s="81">
        <f>+'Input Sheet'!N53+'Input Sheet'!N61+'Input Sheet'!N69</f>
        <v>0</v>
      </c>
      <c r="O36" s="81">
        <f>+'Input Sheet'!O53+'Input Sheet'!O61+'Input Sheet'!O69</f>
        <v>0</v>
      </c>
      <c r="P36" s="81">
        <f>+'Input Sheet'!P53+'Input Sheet'!P61+'Input Sheet'!P69</f>
        <v>0</v>
      </c>
      <c r="Q36" s="81">
        <f>+'Input Sheet'!Q53+'Input Sheet'!Q61+'Input Sheet'!Q69</f>
        <v>0</v>
      </c>
      <c r="R36" s="81">
        <f>+'Input Sheet'!R53+'Input Sheet'!R61+'Input Sheet'!R69</f>
        <v>0</v>
      </c>
      <c r="S36" s="81">
        <f>+'Input Sheet'!S53+'Input Sheet'!S61+'Input Sheet'!S69</f>
        <v>0</v>
      </c>
      <c r="T36" s="81">
        <f>+'Input Sheet'!T53+'Input Sheet'!T61+'Input Sheet'!T69</f>
        <v>0</v>
      </c>
      <c r="U36" s="81">
        <f>+'Input Sheet'!U53+'Input Sheet'!U61+'Input Sheet'!U69</f>
        <v>0</v>
      </c>
      <c r="V36" s="81">
        <f>+'Input Sheet'!V53+'Input Sheet'!V61+'Input Sheet'!V69</f>
        <v>0</v>
      </c>
      <c r="W36" s="81">
        <f>+'Input Sheet'!W53+'Input Sheet'!W61+'Input Sheet'!W69</f>
        <v>0</v>
      </c>
      <c r="X36" s="80">
        <f>SUM(N36:W36)</f>
        <v>0</v>
      </c>
      <c r="Y36" s="82">
        <f>SUM(C36:W36)</f>
        <v>0</v>
      </c>
      <c r="Z36" s="86">
        <f>IF(AT33=0,0,Y39/AT33)</f>
        <v>0</v>
      </c>
      <c r="AA36" s="86">
        <f>+C6</f>
        <v>0</v>
      </c>
      <c r="AB36" s="87" t="s">
        <v>31</v>
      </c>
      <c r="AC36" s="87"/>
    </row>
    <row r="37" spans="1:46">
      <c r="A37" s="107" t="s">
        <v>168</v>
      </c>
      <c r="B37" s="3"/>
      <c r="C37" s="83"/>
      <c r="D37" s="81">
        <f>+'Input Sheet'!D54+'Input Sheet'!D62+'Input Sheet'!D70</f>
        <v>0</v>
      </c>
      <c r="E37" s="81">
        <f>+'Input Sheet'!E54+'Input Sheet'!E62+'Input Sheet'!E70</f>
        <v>0</v>
      </c>
      <c r="F37" s="81">
        <f>+'Input Sheet'!F54+'Input Sheet'!F62+'Input Sheet'!F70</f>
        <v>0</v>
      </c>
      <c r="G37" s="81">
        <f>+'Input Sheet'!G54+'Input Sheet'!G62+'Input Sheet'!G70</f>
        <v>0</v>
      </c>
      <c r="H37" s="81">
        <f>+'Input Sheet'!H54+'Input Sheet'!H62+'Input Sheet'!H70</f>
        <v>0</v>
      </c>
      <c r="I37" s="81">
        <f>+'Input Sheet'!I54+'Input Sheet'!I62+'Input Sheet'!I70</f>
        <v>0</v>
      </c>
      <c r="J37" s="81">
        <f>+'Input Sheet'!J54+'Input Sheet'!J62+'Input Sheet'!J70</f>
        <v>0</v>
      </c>
      <c r="K37" s="81">
        <f>+'Input Sheet'!K54+'Input Sheet'!K62+'Input Sheet'!K70</f>
        <v>0</v>
      </c>
      <c r="L37" s="81">
        <f>+'Input Sheet'!L54+'Input Sheet'!L62+'Input Sheet'!L70</f>
        <v>0</v>
      </c>
      <c r="M37" s="81">
        <f>+'Input Sheet'!M54+'Input Sheet'!M62+'Input Sheet'!M70</f>
        <v>0</v>
      </c>
      <c r="N37" s="81">
        <f>+'Input Sheet'!N54+'Input Sheet'!N62+'Input Sheet'!N70</f>
        <v>0</v>
      </c>
      <c r="O37" s="81">
        <f>+'Input Sheet'!O54+'Input Sheet'!O62+'Input Sheet'!O70</f>
        <v>0</v>
      </c>
      <c r="P37" s="81">
        <f>+'Input Sheet'!P54+'Input Sheet'!P62+'Input Sheet'!P70</f>
        <v>0</v>
      </c>
      <c r="Q37" s="81">
        <f>+'Input Sheet'!Q54+'Input Sheet'!Q62+'Input Sheet'!Q70</f>
        <v>0</v>
      </c>
      <c r="R37" s="81">
        <f>+'Input Sheet'!R54+'Input Sheet'!R62+'Input Sheet'!R70</f>
        <v>0</v>
      </c>
      <c r="S37" s="81">
        <f>+'Input Sheet'!S54+'Input Sheet'!S62+'Input Sheet'!S70</f>
        <v>0</v>
      </c>
      <c r="T37" s="81">
        <f>+'Input Sheet'!T54+'Input Sheet'!T62+'Input Sheet'!T70</f>
        <v>0</v>
      </c>
      <c r="U37" s="81">
        <f>+'Input Sheet'!U54+'Input Sheet'!U62+'Input Sheet'!U70</f>
        <v>0</v>
      </c>
      <c r="V37" s="81">
        <f>+'Input Sheet'!V54+'Input Sheet'!V62+'Input Sheet'!V70</f>
        <v>0</v>
      </c>
      <c r="W37" s="81">
        <f>+'Input Sheet'!W54+'Input Sheet'!W62+'Input Sheet'!W70</f>
        <v>0</v>
      </c>
      <c r="X37" s="80">
        <f>SUM(N37:W37)</f>
        <v>0</v>
      </c>
      <c r="Y37" s="82">
        <f>SUM(C37:W37)</f>
        <v>0</v>
      </c>
      <c r="Z37" s="86">
        <f>IF(AT34=0,0,Y40/AT34)</f>
        <v>0</v>
      </c>
      <c r="AA37" s="86">
        <f>+C7</f>
        <v>0</v>
      </c>
      <c r="AB37" s="87" t="s">
        <v>31</v>
      </c>
      <c r="AC37" s="87"/>
    </row>
    <row r="38" spans="1:46">
      <c r="A38" s="8" t="s">
        <v>29</v>
      </c>
      <c r="B38" s="3"/>
      <c r="C38" s="9"/>
    </row>
    <row r="39" spans="1:46">
      <c r="A39" s="107" t="s">
        <v>167</v>
      </c>
      <c r="B39" s="3"/>
      <c r="C39" s="9"/>
      <c r="D39" s="9">
        <f>+'Input Sheet'!D51*'Input Sheet'!$F$49*'Input Sheet'!$D$49+'Input Sheet'!D59*'Input Sheet'!$D$57*'Input Sheet'!$F$57+'Input Sheet'!D67*'Input Sheet'!$D$65*'Input Sheet'!$F$65</f>
        <v>0</v>
      </c>
      <c r="E39" s="9">
        <f>+'Input Sheet'!E51*'Input Sheet'!$F$49*'Input Sheet'!$D$49+'Input Sheet'!E59*'Input Sheet'!$D$57*'Input Sheet'!$F$57+'Input Sheet'!E67*'Input Sheet'!$D$65*'Input Sheet'!$F$65</f>
        <v>0</v>
      </c>
      <c r="F39" s="9">
        <f>+'Input Sheet'!F51*'Input Sheet'!$F$49*'Input Sheet'!$D$49+'Input Sheet'!F59*'Input Sheet'!$D$57*'Input Sheet'!$F$57+'Input Sheet'!F67*'Input Sheet'!$D$65*'Input Sheet'!$F$65</f>
        <v>0</v>
      </c>
      <c r="G39" s="9">
        <f>+'Input Sheet'!G51*'Input Sheet'!$F$49*'Input Sheet'!$D$49+'Input Sheet'!G59*'Input Sheet'!$D$57*'Input Sheet'!$F$57+'Input Sheet'!G67*'Input Sheet'!$D$65*'Input Sheet'!$F$65</f>
        <v>0</v>
      </c>
      <c r="H39" s="9">
        <f>+'Input Sheet'!H51*'Input Sheet'!$F$49*'Input Sheet'!$D$49+'Input Sheet'!H59*'Input Sheet'!$D$57*'Input Sheet'!$F$57+'Input Sheet'!H67*'Input Sheet'!$D$65*'Input Sheet'!$F$65</f>
        <v>0</v>
      </c>
      <c r="I39" s="9">
        <f>+'Input Sheet'!I51*'Input Sheet'!$F$49*'Input Sheet'!$D$49+'Input Sheet'!I59*'Input Sheet'!$D$57*'Input Sheet'!$F$57+'Input Sheet'!I67*'Input Sheet'!$D$65*'Input Sheet'!$F$65</f>
        <v>0</v>
      </c>
      <c r="J39" s="9">
        <f>+'Input Sheet'!J51*'Input Sheet'!$F$49*'Input Sheet'!$D$49+'Input Sheet'!J59*'Input Sheet'!$D$57*'Input Sheet'!$F$57+'Input Sheet'!J67*'Input Sheet'!$D$65*'Input Sheet'!$F$65</f>
        <v>0</v>
      </c>
      <c r="K39" s="9">
        <f>+'Input Sheet'!K51*'Input Sheet'!$F$49*'Input Sheet'!$D$49+'Input Sheet'!K59*'Input Sheet'!$D$57*'Input Sheet'!$F$57+'Input Sheet'!K67*'Input Sheet'!$D$65*'Input Sheet'!$F$65</f>
        <v>0</v>
      </c>
      <c r="L39" s="9">
        <f>+'Input Sheet'!L51*'Input Sheet'!$F$49*'Input Sheet'!$D$49+'Input Sheet'!L59*'Input Sheet'!$D$57*'Input Sheet'!$F$57+'Input Sheet'!L67*'Input Sheet'!$D$65*'Input Sheet'!$F$65</f>
        <v>0</v>
      </c>
      <c r="M39" s="9">
        <f>+'Input Sheet'!M51*'Input Sheet'!$F$49*'Input Sheet'!$D$49+'Input Sheet'!M59*'Input Sheet'!$D$57*'Input Sheet'!$F$57+'Input Sheet'!M67*'Input Sheet'!$D$65*'Input Sheet'!$F$65</f>
        <v>0</v>
      </c>
      <c r="N39" s="9">
        <f>+'Input Sheet'!N51*'Input Sheet'!$F$49*'Input Sheet'!$D$49+'Input Sheet'!N59*'Input Sheet'!$D$57*'Input Sheet'!$F$57+'Input Sheet'!N67*'Input Sheet'!$D$65*'Input Sheet'!$F$65</f>
        <v>0</v>
      </c>
      <c r="O39" s="9">
        <f>+'Input Sheet'!O51*'Input Sheet'!$F$49*'Input Sheet'!$D$49+'Input Sheet'!O59*'Input Sheet'!$D$57*'Input Sheet'!$F$57+'Input Sheet'!O67*'Input Sheet'!$D$65*'Input Sheet'!$F$65</f>
        <v>0</v>
      </c>
      <c r="P39" s="9">
        <f>+'Input Sheet'!P51*'Input Sheet'!$F$49*'Input Sheet'!$D$49+'Input Sheet'!P59*'Input Sheet'!$D$57*'Input Sheet'!$F$57+'Input Sheet'!P67*'Input Sheet'!$D$65*'Input Sheet'!$F$65</f>
        <v>0</v>
      </c>
      <c r="Q39" s="9">
        <f>+'Input Sheet'!Q51*'Input Sheet'!$F$49*'Input Sheet'!$D$49+'Input Sheet'!Q59*'Input Sheet'!$D$57*'Input Sheet'!$F$57+'Input Sheet'!Q67*'Input Sheet'!$D$65*'Input Sheet'!$F$65</f>
        <v>0</v>
      </c>
      <c r="R39" s="9">
        <f>+'Input Sheet'!R51*'Input Sheet'!$F$49*'Input Sheet'!$D$49+'Input Sheet'!R59*'Input Sheet'!$D$57*'Input Sheet'!$F$57+'Input Sheet'!R67*'Input Sheet'!$D$65*'Input Sheet'!$F$65</f>
        <v>0</v>
      </c>
      <c r="S39" s="9">
        <f>+'Input Sheet'!S51*'Input Sheet'!$F$49*'Input Sheet'!$D$49+'Input Sheet'!S59*'Input Sheet'!$D$57*'Input Sheet'!$F$57+'Input Sheet'!S67*'Input Sheet'!$D$65*'Input Sheet'!$F$65</f>
        <v>0</v>
      </c>
      <c r="T39" s="9">
        <f>+'Input Sheet'!T51*'Input Sheet'!$F$49*'Input Sheet'!$D$49+'Input Sheet'!T59*'Input Sheet'!$D$57*'Input Sheet'!$F$57+'Input Sheet'!T67*'Input Sheet'!$D$65*'Input Sheet'!$F$65</f>
        <v>0</v>
      </c>
      <c r="U39" s="9">
        <f>+'Input Sheet'!U51*'Input Sheet'!$F$49*'Input Sheet'!$D$49+'Input Sheet'!U59*'Input Sheet'!$D$57*'Input Sheet'!$F$57+'Input Sheet'!U67*'Input Sheet'!$D$65*'Input Sheet'!$F$65</f>
        <v>0</v>
      </c>
      <c r="V39" s="9">
        <f>+'Input Sheet'!V51*'Input Sheet'!$F$49*'Input Sheet'!$D$49+'Input Sheet'!V59*'Input Sheet'!$D$57*'Input Sheet'!$F$57+'Input Sheet'!V67*'Input Sheet'!$D$65*'Input Sheet'!$F$65</f>
        <v>0</v>
      </c>
      <c r="W39" s="9">
        <f>+'Input Sheet'!W51*'Input Sheet'!$F$49*'Input Sheet'!$D$49+'Input Sheet'!W59*'Input Sheet'!$D$57*'Input Sheet'!$F$57+'Input Sheet'!W67*'Input Sheet'!$D$65*'Input Sheet'!$F$65</f>
        <v>0</v>
      </c>
      <c r="X39" s="80">
        <f>SUM(N39:W39)</f>
        <v>0</v>
      </c>
      <c r="Y39" s="82">
        <f>SUM(C39:W39)</f>
        <v>0</v>
      </c>
    </row>
    <row r="40" spans="1:46">
      <c r="A40" s="107" t="s">
        <v>168</v>
      </c>
      <c r="B40" s="3"/>
      <c r="C40" s="9"/>
      <c r="D40" s="9">
        <f>+'Input Sheet'!D52*'Input Sheet'!$D$50*'Input Sheet'!$F$50+'Input Sheet'!D60*'Input Sheet'!$D$58*'Input Sheet'!$F$58+'Input Sheet'!D68*'Input Sheet'!$D$66*'Input Sheet'!$F$66</f>
        <v>0</v>
      </c>
      <c r="E40" s="9">
        <f>+'Input Sheet'!E52*'Input Sheet'!$D$50*'Input Sheet'!$F$50+'Input Sheet'!E60*'Input Sheet'!$D$58*'Input Sheet'!$F$58+'Input Sheet'!E68*'Input Sheet'!$D$66*'Input Sheet'!$F$66</f>
        <v>0</v>
      </c>
      <c r="F40" s="9">
        <f>+'Input Sheet'!F52*'Input Sheet'!$D$50*'Input Sheet'!$F$50+'Input Sheet'!F60*'Input Sheet'!$D$58*'Input Sheet'!$F$58+'Input Sheet'!F68*'Input Sheet'!$D$66*'Input Sheet'!$F$66</f>
        <v>0</v>
      </c>
      <c r="G40" s="9">
        <f>+'Input Sheet'!G52*'Input Sheet'!$D$50*'Input Sheet'!$F$50+'Input Sheet'!G60*'Input Sheet'!$D$58*'Input Sheet'!$F$58+'Input Sheet'!G68*'Input Sheet'!$D$66*'Input Sheet'!$F$66</f>
        <v>0</v>
      </c>
      <c r="H40" s="9">
        <f>+'Input Sheet'!H52*'Input Sheet'!$D$50*'Input Sheet'!$F$50+'Input Sheet'!H60*'Input Sheet'!$D$58*'Input Sheet'!$F$58+'Input Sheet'!H68*'Input Sheet'!$D$66*'Input Sheet'!$F$66</f>
        <v>0</v>
      </c>
      <c r="I40" s="9">
        <f>+'Input Sheet'!I52*'Input Sheet'!$D$50*'Input Sheet'!$F$50+'Input Sheet'!I60*'Input Sheet'!$D$58*'Input Sheet'!$F$58+'Input Sheet'!I68*'Input Sheet'!$D$66*'Input Sheet'!$F$66</f>
        <v>0</v>
      </c>
      <c r="J40" s="9">
        <f>+'Input Sheet'!J52*'Input Sheet'!$D$50*'Input Sheet'!$F$50+'Input Sheet'!J60*'Input Sheet'!$D$58*'Input Sheet'!$F$58+'Input Sheet'!J68*'Input Sheet'!$D$66*'Input Sheet'!$F$66</f>
        <v>0</v>
      </c>
      <c r="K40" s="9">
        <f>+'Input Sheet'!K52*'Input Sheet'!$D$50*'Input Sheet'!$F$50+'Input Sheet'!K60*'Input Sheet'!$D$58*'Input Sheet'!$F$58+'Input Sheet'!K68*'Input Sheet'!$D$66*'Input Sheet'!$F$66</f>
        <v>0</v>
      </c>
      <c r="L40" s="9">
        <f>+'Input Sheet'!L52*'Input Sheet'!$D$50*'Input Sheet'!$F$50+'Input Sheet'!L60*'Input Sheet'!$D$58*'Input Sheet'!$F$58+'Input Sheet'!L68*'Input Sheet'!$D$66*'Input Sheet'!$F$66</f>
        <v>0</v>
      </c>
      <c r="M40" s="9">
        <f>+'Input Sheet'!M52*'Input Sheet'!$D$50*'Input Sheet'!$F$50+'Input Sheet'!M60*'Input Sheet'!$D$58*'Input Sheet'!$F$58+'Input Sheet'!M68*'Input Sheet'!$D$66*'Input Sheet'!$F$66</f>
        <v>0</v>
      </c>
      <c r="N40" s="9">
        <f>+'Input Sheet'!N52*'Input Sheet'!$D$50*'Input Sheet'!$F$50+'Input Sheet'!N60*'Input Sheet'!$D$58*'Input Sheet'!$F$58+'Input Sheet'!N68*'Input Sheet'!$D$66*'Input Sheet'!$F$66</f>
        <v>0</v>
      </c>
      <c r="O40" s="9">
        <f>+'Input Sheet'!O52*'Input Sheet'!$D$50*'Input Sheet'!$F$50+'Input Sheet'!O60*'Input Sheet'!$D$58*'Input Sheet'!$F$58+'Input Sheet'!O68*'Input Sheet'!$D$66*'Input Sheet'!$F$66</f>
        <v>0</v>
      </c>
      <c r="P40" s="9">
        <f>+'Input Sheet'!P52*'Input Sheet'!$D$50*'Input Sheet'!$F$50+'Input Sheet'!P60*'Input Sheet'!$D$58*'Input Sheet'!$F$58+'Input Sheet'!P68*'Input Sheet'!$D$66*'Input Sheet'!$F$66</f>
        <v>0</v>
      </c>
      <c r="Q40" s="9">
        <f>+'Input Sheet'!Q52*'Input Sheet'!$D$50*'Input Sheet'!$F$50+'Input Sheet'!Q60*'Input Sheet'!$D$58*'Input Sheet'!$F$58+'Input Sheet'!Q68*'Input Sheet'!$D$66*'Input Sheet'!$F$66</f>
        <v>0</v>
      </c>
      <c r="R40" s="9">
        <f>+'Input Sheet'!R52*'Input Sheet'!$D$50*'Input Sheet'!$F$50+'Input Sheet'!R60*'Input Sheet'!$D$58*'Input Sheet'!$F$58+'Input Sheet'!R68*'Input Sheet'!$D$66*'Input Sheet'!$F$66</f>
        <v>0</v>
      </c>
      <c r="S40" s="9">
        <f>+'Input Sheet'!S52*'Input Sheet'!$D$50*'Input Sheet'!$F$50+'Input Sheet'!S60*'Input Sheet'!$D$58*'Input Sheet'!$F$58+'Input Sheet'!S68*'Input Sheet'!$D$66*'Input Sheet'!$F$66</f>
        <v>0</v>
      </c>
      <c r="T40" s="9">
        <f>+'Input Sheet'!T52*'Input Sheet'!$D$50*'Input Sheet'!$F$50+'Input Sheet'!T60*'Input Sheet'!$D$58*'Input Sheet'!$F$58+'Input Sheet'!T68*'Input Sheet'!$D$66*'Input Sheet'!$F$66</f>
        <v>0</v>
      </c>
      <c r="U40" s="9">
        <f>+'Input Sheet'!U52*'Input Sheet'!$D$50*'Input Sheet'!$F$50+'Input Sheet'!U60*'Input Sheet'!$D$58*'Input Sheet'!$F$58+'Input Sheet'!U68*'Input Sheet'!$D$66*'Input Sheet'!$F$66</f>
        <v>0</v>
      </c>
      <c r="V40" s="9">
        <f>+'Input Sheet'!V52*'Input Sheet'!$D$50*'Input Sheet'!$F$50+'Input Sheet'!V60*'Input Sheet'!$D$58*'Input Sheet'!$F$58+'Input Sheet'!V68*'Input Sheet'!$D$66*'Input Sheet'!$F$66</f>
        <v>0</v>
      </c>
      <c r="W40" s="9">
        <f>+'Input Sheet'!W52*'Input Sheet'!$D$50*'Input Sheet'!$F$50+'Input Sheet'!W60*'Input Sheet'!$D$58*'Input Sheet'!$F$58+'Input Sheet'!W68*'Input Sheet'!$D$66*'Input Sheet'!$F$66</f>
        <v>0</v>
      </c>
      <c r="X40" s="80">
        <f>SUM(N40:W40)</f>
        <v>0</v>
      </c>
      <c r="Y40" s="82">
        <f>SUM(C40:W40)</f>
        <v>0</v>
      </c>
    </row>
    <row r="41" spans="1:46">
      <c r="A41" s="10" t="s">
        <v>30</v>
      </c>
      <c r="B41" s="3"/>
      <c r="C41" s="9"/>
      <c r="D41" s="183"/>
    </row>
    <row r="42" spans="1:46">
      <c r="A42" s="107" t="s">
        <v>167</v>
      </c>
      <c r="B42" s="3"/>
      <c r="C42" s="9"/>
      <c r="D42" s="9">
        <f>+'Input Sheet'!D53*'Input Sheet'!$E$49+'Input Sheet'!D61*'Input Sheet'!$E$57+'Input Sheet'!D69*'Input Sheet'!$E$65</f>
        <v>0</v>
      </c>
      <c r="E42" s="9">
        <f>+'Input Sheet'!E53*'Input Sheet'!$E$49+'Input Sheet'!E61*'Input Sheet'!$E$57+'Input Sheet'!E69*'Input Sheet'!$E$65</f>
        <v>0</v>
      </c>
      <c r="F42" s="9">
        <f>+'Input Sheet'!F53*'Input Sheet'!$E$49+'Input Sheet'!F61*'Input Sheet'!$E$57+'Input Sheet'!F69*'Input Sheet'!$E$65</f>
        <v>0</v>
      </c>
      <c r="G42" s="9">
        <f>+'Input Sheet'!G53*'Input Sheet'!$E$49+'Input Sheet'!G61*'Input Sheet'!$E$57+'Input Sheet'!G69*'Input Sheet'!$E$65</f>
        <v>0</v>
      </c>
      <c r="H42" s="9">
        <f>+'Input Sheet'!H53*'Input Sheet'!$E$49+'Input Sheet'!H61*'Input Sheet'!$E$57+'Input Sheet'!H69*'Input Sheet'!$E$65</f>
        <v>0</v>
      </c>
      <c r="I42" s="9">
        <f>+'Input Sheet'!I53*'Input Sheet'!$E$49+'Input Sheet'!I61*'Input Sheet'!$E$57+'Input Sheet'!I69*'Input Sheet'!$E$65</f>
        <v>0</v>
      </c>
      <c r="J42" s="9">
        <f>+'Input Sheet'!J53*'Input Sheet'!$E$49+'Input Sheet'!J61*'Input Sheet'!$E$57+'Input Sheet'!J69*'Input Sheet'!$E$65</f>
        <v>0</v>
      </c>
      <c r="K42" s="9">
        <f>+'Input Sheet'!K53*'Input Sheet'!$E$49+'Input Sheet'!K61*'Input Sheet'!$E$57+'Input Sheet'!K69*'Input Sheet'!$E$65</f>
        <v>0</v>
      </c>
      <c r="L42" s="9">
        <f>+'Input Sheet'!L53*'Input Sheet'!$E$49+'Input Sheet'!L61*'Input Sheet'!$E$57+'Input Sheet'!L69*'Input Sheet'!$E$65</f>
        <v>0</v>
      </c>
      <c r="M42" s="9">
        <f>+'Input Sheet'!M53*'Input Sheet'!$E$49+'Input Sheet'!M61*'Input Sheet'!$E$57+'Input Sheet'!M69*'Input Sheet'!$E$65</f>
        <v>0</v>
      </c>
      <c r="N42" s="9">
        <f>+'Input Sheet'!N53*'Input Sheet'!$E$49+'Input Sheet'!N61*'Input Sheet'!$E$57+'Input Sheet'!N69*'Input Sheet'!$E$65</f>
        <v>0</v>
      </c>
      <c r="O42" s="9">
        <f>+'Input Sheet'!O53*'Input Sheet'!$E$49+'Input Sheet'!O61*'Input Sheet'!$E$57+'Input Sheet'!O69*'Input Sheet'!$E$65</f>
        <v>0</v>
      </c>
      <c r="P42" s="9">
        <f>+'Input Sheet'!P53*'Input Sheet'!$E$49+'Input Sheet'!P61*'Input Sheet'!$E$57+'Input Sheet'!P69*'Input Sheet'!$E$65</f>
        <v>0</v>
      </c>
      <c r="Q42" s="9">
        <f>+'Input Sheet'!Q53*'Input Sheet'!$E$49+'Input Sheet'!Q61*'Input Sheet'!$E$57+'Input Sheet'!Q69*'Input Sheet'!$E$65</f>
        <v>0</v>
      </c>
      <c r="R42" s="9">
        <f>+'Input Sheet'!R53*'Input Sheet'!$E$49+'Input Sheet'!R61*'Input Sheet'!$E$57+'Input Sheet'!R69*'Input Sheet'!$E$65</f>
        <v>0</v>
      </c>
      <c r="S42" s="9">
        <f>+'Input Sheet'!S53*'Input Sheet'!$E$49+'Input Sheet'!S61*'Input Sheet'!$E$57+'Input Sheet'!S69*'Input Sheet'!$E$65</f>
        <v>0</v>
      </c>
      <c r="T42" s="9">
        <f>+'Input Sheet'!T53*'Input Sheet'!$E$49+'Input Sheet'!T61*'Input Sheet'!$E$57+'Input Sheet'!T69*'Input Sheet'!$E$65</f>
        <v>0</v>
      </c>
      <c r="U42" s="9">
        <f>+'Input Sheet'!U53*'Input Sheet'!$E$49+'Input Sheet'!U61*'Input Sheet'!$E$57+'Input Sheet'!U69*'Input Sheet'!$E$65</f>
        <v>0</v>
      </c>
      <c r="V42" s="9">
        <f>+'Input Sheet'!V53*'Input Sheet'!$E$49+'Input Sheet'!V61*'Input Sheet'!$E$57+'Input Sheet'!V69*'Input Sheet'!$E$65</f>
        <v>0</v>
      </c>
      <c r="W42" s="9">
        <f>+'Input Sheet'!W53*'Input Sheet'!$E$49+'Input Sheet'!W61*'Input Sheet'!$E$57+'Input Sheet'!W69*'Input Sheet'!$E$65</f>
        <v>0</v>
      </c>
      <c r="X42" s="80">
        <f>SUM(N42:W42)</f>
        <v>0</v>
      </c>
      <c r="Y42" s="9">
        <f>+$D$6*Y36</f>
        <v>0</v>
      </c>
      <c r="Z42" s="86">
        <f>IF(Y36=0,0,Y42/Y36)</f>
        <v>0</v>
      </c>
      <c r="AA42" s="86">
        <f>+D6</f>
        <v>0</v>
      </c>
      <c r="AB42" s="87" t="s">
        <v>31</v>
      </c>
      <c r="AC42" s="87"/>
    </row>
    <row r="43" spans="1:46">
      <c r="A43" s="107" t="s">
        <v>168</v>
      </c>
      <c r="B43" s="3"/>
      <c r="C43" s="9"/>
      <c r="D43" s="9">
        <f>+'Input Sheet'!D54*'Input Sheet'!$E$50+'Input Sheet'!D62*'Input Sheet'!$E$58+'Input Sheet'!D70*'Input Sheet'!$E$66</f>
        <v>0</v>
      </c>
      <c r="E43" s="9">
        <f>+'Input Sheet'!E54*'Input Sheet'!$E$50+'Input Sheet'!E62*'Input Sheet'!$E$58+'Input Sheet'!E70*'Input Sheet'!$E$66</f>
        <v>0</v>
      </c>
      <c r="F43" s="9">
        <f>+'Input Sheet'!F54*'Input Sheet'!$E$50+'Input Sheet'!F62*'Input Sheet'!$E$58+'Input Sheet'!F70*'Input Sheet'!$E$66</f>
        <v>0</v>
      </c>
      <c r="G43" s="9">
        <f>+'Input Sheet'!G54*'Input Sheet'!$E$50+'Input Sheet'!G62*'Input Sheet'!$E$58+'Input Sheet'!G70*'Input Sheet'!$E$66</f>
        <v>0</v>
      </c>
      <c r="H43" s="9">
        <f>+'Input Sheet'!H54*'Input Sheet'!$E$50+'Input Sheet'!H62*'Input Sheet'!$E$58+'Input Sheet'!H70*'Input Sheet'!$E$66</f>
        <v>0</v>
      </c>
      <c r="I43" s="9">
        <f>+'Input Sheet'!I54*'Input Sheet'!$E$50+'Input Sheet'!I62*'Input Sheet'!$E$58+'Input Sheet'!I70*'Input Sheet'!$E$66</f>
        <v>0</v>
      </c>
      <c r="J43" s="9">
        <f>+'Input Sheet'!J54*'Input Sheet'!$E$50+'Input Sheet'!J62*'Input Sheet'!$E$58+'Input Sheet'!J70*'Input Sheet'!$E$66</f>
        <v>0</v>
      </c>
      <c r="K43" s="9">
        <f>+'Input Sheet'!K54*'Input Sheet'!$E$50+'Input Sheet'!K62*'Input Sheet'!$E$58+'Input Sheet'!K70*'Input Sheet'!$E$66</f>
        <v>0</v>
      </c>
      <c r="L43" s="9">
        <f>+'Input Sheet'!L54*'Input Sheet'!$E$50+'Input Sheet'!L62*'Input Sheet'!$E$58+'Input Sheet'!L70*'Input Sheet'!$E$66</f>
        <v>0</v>
      </c>
      <c r="M43" s="9">
        <f>+'Input Sheet'!M54*'Input Sheet'!$E$50+'Input Sheet'!M62*'Input Sheet'!$E$58+'Input Sheet'!M70*'Input Sheet'!$E$66</f>
        <v>0</v>
      </c>
      <c r="N43" s="9">
        <f>+'Input Sheet'!N54*'Input Sheet'!$E$50+'Input Sheet'!N62*'Input Sheet'!$E$58+'Input Sheet'!N70*'Input Sheet'!$E$66</f>
        <v>0</v>
      </c>
      <c r="O43" s="9">
        <f>+'Input Sheet'!O54*'Input Sheet'!$E$50+'Input Sheet'!O62*'Input Sheet'!$E$58+'Input Sheet'!O70*'Input Sheet'!$E$66</f>
        <v>0</v>
      </c>
      <c r="P43" s="9">
        <f>+'Input Sheet'!P54*'Input Sheet'!$E$50+'Input Sheet'!P62*'Input Sheet'!$E$58+'Input Sheet'!P70*'Input Sheet'!$E$66</f>
        <v>0</v>
      </c>
      <c r="Q43" s="9">
        <f>+'Input Sheet'!Q54*'Input Sheet'!$E$50+'Input Sheet'!Q62*'Input Sheet'!$E$58+'Input Sheet'!Q70*'Input Sheet'!$E$66</f>
        <v>0</v>
      </c>
      <c r="R43" s="9">
        <f>+'Input Sheet'!R54*'Input Sheet'!$E$50+'Input Sheet'!R62*'Input Sheet'!$E$58+'Input Sheet'!R70*'Input Sheet'!$E$66</f>
        <v>0</v>
      </c>
      <c r="S43" s="9">
        <f>+'Input Sheet'!S54*'Input Sheet'!$E$50+'Input Sheet'!S62*'Input Sheet'!$E$58+'Input Sheet'!S70*'Input Sheet'!$E$66</f>
        <v>0</v>
      </c>
      <c r="T43" s="9">
        <f>+'Input Sheet'!T54*'Input Sheet'!$E$50+'Input Sheet'!T62*'Input Sheet'!$E$58+'Input Sheet'!T70*'Input Sheet'!$E$66</f>
        <v>0</v>
      </c>
      <c r="U43" s="9">
        <f>+'Input Sheet'!U54*'Input Sheet'!$E$50+'Input Sheet'!U62*'Input Sheet'!$E$58+'Input Sheet'!U70*'Input Sheet'!$E$66</f>
        <v>0</v>
      </c>
      <c r="V43" s="9">
        <f>+'Input Sheet'!V54*'Input Sheet'!$E$50+'Input Sheet'!V62*'Input Sheet'!$E$58+'Input Sheet'!V70*'Input Sheet'!$E$66</f>
        <v>0</v>
      </c>
      <c r="W43" s="9">
        <f>+'Input Sheet'!W54*'Input Sheet'!$E$50+'Input Sheet'!W62*'Input Sheet'!$E$58+'Input Sheet'!W70*'Input Sheet'!$E$66</f>
        <v>0</v>
      </c>
      <c r="X43" s="80">
        <f>SUM(N43:W43)</f>
        <v>0</v>
      </c>
      <c r="Y43" s="9">
        <f>+$C$7*Y37</f>
        <v>0</v>
      </c>
      <c r="Z43" s="86">
        <f>IF(Y37=0,0,Y43/Y37)</f>
        <v>0</v>
      </c>
      <c r="AA43" s="86">
        <f>+D7</f>
        <v>0</v>
      </c>
      <c r="AB43" s="87" t="s">
        <v>31</v>
      </c>
      <c r="AC43" s="87"/>
    </row>
    <row r="44" spans="1:46">
      <c r="A44" s="10" t="s">
        <v>32</v>
      </c>
      <c r="B44" s="3"/>
      <c r="C44" s="9"/>
      <c r="D44" s="9">
        <f>+'Input Sheet'!D6</f>
        <v>0</v>
      </c>
      <c r="E44" s="9">
        <f>+'Input Sheet'!E6</f>
        <v>0</v>
      </c>
      <c r="F44" s="9">
        <f>+'Input Sheet'!F6</f>
        <v>0</v>
      </c>
      <c r="G44" s="9">
        <f>+'Input Sheet'!G6</f>
        <v>0</v>
      </c>
      <c r="H44" s="9">
        <f>+'Input Sheet'!H6</f>
        <v>0</v>
      </c>
      <c r="I44" s="9">
        <f>+'Input Sheet'!I6</f>
        <v>0</v>
      </c>
      <c r="J44" s="9">
        <f>+'Input Sheet'!J6</f>
        <v>0</v>
      </c>
      <c r="K44" s="9">
        <f>+'Input Sheet'!K6</f>
        <v>0</v>
      </c>
      <c r="L44" s="9">
        <f>+'Input Sheet'!L6</f>
        <v>0</v>
      </c>
      <c r="M44" s="9">
        <f>+'Input Sheet'!M6</f>
        <v>0</v>
      </c>
      <c r="N44" s="9">
        <f>+'Input Sheet'!N6</f>
        <v>0</v>
      </c>
      <c r="O44" s="9">
        <f>+'Input Sheet'!O6</f>
        <v>0</v>
      </c>
      <c r="P44" s="9">
        <f>+'Input Sheet'!P6</f>
        <v>0</v>
      </c>
      <c r="Q44" s="9">
        <f>+'Input Sheet'!Q6</f>
        <v>0</v>
      </c>
      <c r="R44" s="9">
        <f>+'Input Sheet'!R6</f>
        <v>0</v>
      </c>
      <c r="S44" s="9">
        <f>+'Input Sheet'!S6</f>
        <v>0</v>
      </c>
      <c r="T44" s="9">
        <f>+'Input Sheet'!T6</f>
        <v>0</v>
      </c>
      <c r="U44" s="9">
        <f>+'Input Sheet'!U6</f>
        <v>0</v>
      </c>
      <c r="V44" s="9">
        <f>+'Input Sheet'!V6</f>
        <v>0</v>
      </c>
      <c r="W44" s="9">
        <f>+'Input Sheet'!W6</f>
        <v>0</v>
      </c>
      <c r="X44" s="80">
        <f>SUM(N44:W44)</f>
        <v>0</v>
      </c>
      <c r="Y44" s="82">
        <f>SUM(C44:W44)</f>
        <v>0</v>
      </c>
      <c r="Z44" s="88"/>
    </row>
    <row r="45" spans="1:46">
      <c r="A45" s="10" t="s">
        <v>203</v>
      </c>
      <c r="B45" s="3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80"/>
      <c r="Y45" s="82"/>
      <c r="Z45" s="88"/>
    </row>
    <row r="46" spans="1:46">
      <c r="A46" s="189" t="s">
        <v>204</v>
      </c>
      <c r="B46" s="190"/>
      <c r="C46" s="191"/>
      <c r="D46" s="191">
        <f>+Summary!D33</f>
        <v>2930137.2749999999</v>
      </c>
      <c r="E46" s="191">
        <f>+Summary!E33</f>
        <v>2924512.5877499999</v>
      </c>
      <c r="F46" s="191">
        <f>+Summary!F33</f>
        <v>2917753.3443825003</v>
      </c>
      <c r="G46" s="191">
        <f>+Summary!G33</f>
        <v>2913066.9834639751</v>
      </c>
      <c r="H46" s="191">
        <f>+Summary!H33</f>
        <v>2910642.4122178946</v>
      </c>
      <c r="I46" s="191">
        <f>+Summary!I33</f>
        <v>2910490.2128344313</v>
      </c>
      <c r="J46" s="191">
        <f>+Summary!J33</f>
        <v>2912287.6497194646</v>
      </c>
      <c r="K46" s="191">
        <f>+Summary!K33</f>
        <v>0</v>
      </c>
      <c r="L46" s="191">
        <f>+Summary!L33</f>
        <v>0</v>
      </c>
      <c r="M46" s="191">
        <f>+Summary!K33</f>
        <v>0</v>
      </c>
      <c r="N46" s="191">
        <f>+Summary!L33</f>
        <v>0</v>
      </c>
      <c r="O46" s="191">
        <f>+Summary!M33</f>
        <v>0</v>
      </c>
      <c r="P46" s="191">
        <f>+Summary!N33</f>
        <v>0</v>
      </c>
      <c r="Q46" s="191">
        <f>+Summary!O33</f>
        <v>0</v>
      </c>
      <c r="R46" s="191">
        <f>+Summary!P33</f>
        <v>0</v>
      </c>
      <c r="S46" s="191">
        <f>+Summary!Q33</f>
        <v>0</v>
      </c>
      <c r="T46" s="191">
        <f>+Summary!R33</f>
        <v>0</v>
      </c>
      <c r="U46" s="191">
        <f>+Summary!S33</f>
        <v>0</v>
      </c>
      <c r="V46" s="191">
        <f>+Summary!T33</f>
        <v>0</v>
      </c>
      <c r="W46" s="191">
        <f>+Summary!U33</f>
        <v>0</v>
      </c>
      <c r="X46" s="191">
        <f>+Summary!V33</f>
        <v>0</v>
      </c>
      <c r="Y46" s="193"/>
      <c r="Z46" s="88"/>
    </row>
    <row r="47" spans="1:46">
      <c r="A47" s="189" t="s">
        <v>205</v>
      </c>
      <c r="B47" s="190"/>
      <c r="C47" s="191"/>
      <c r="D47" s="191">
        <f>+'Input Sheet'!D26</f>
        <v>0</v>
      </c>
      <c r="E47" s="191">
        <f>+'Input Sheet'!E26</f>
        <v>0</v>
      </c>
      <c r="F47" s="191">
        <f>+'Input Sheet'!F26</f>
        <v>0</v>
      </c>
      <c r="G47" s="191">
        <f>+'Input Sheet'!G26</f>
        <v>0</v>
      </c>
      <c r="H47" s="191">
        <f>+'Input Sheet'!H26</f>
        <v>0</v>
      </c>
      <c r="I47" s="191">
        <f>+'Input Sheet'!I26</f>
        <v>0</v>
      </c>
      <c r="J47" s="191">
        <f>+'Input Sheet'!J26</f>
        <v>0</v>
      </c>
      <c r="K47" s="191">
        <f>+'Input Sheet'!K26</f>
        <v>0</v>
      </c>
      <c r="L47" s="191">
        <f>+'Input Sheet'!L26</f>
        <v>0</v>
      </c>
      <c r="M47" s="191">
        <f>+'Input Sheet'!M26</f>
        <v>0</v>
      </c>
      <c r="N47" s="191">
        <f>+'Input Sheet'!N26</f>
        <v>0</v>
      </c>
      <c r="O47" s="191">
        <f>+'Input Sheet'!O26</f>
        <v>0</v>
      </c>
      <c r="P47" s="191">
        <f>+'Input Sheet'!P26</f>
        <v>0</v>
      </c>
      <c r="Q47" s="191">
        <f>+'Input Sheet'!Q26</f>
        <v>0</v>
      </c>
      <c r="R47" s="191">
        <f>+'Input Sheet'!R26</f>
        <v>0</v>
      </c>
      <c r="S47" s="191">
        <f>+'Input Sheet'!S26</f>
        <v>0</v>
      </c>
      <c r="T47" s="191">
        <f>+'Input Sheet'!T26</f>
        <v>0</v>
      </c>
      <c r="U47" s="191">
        <f>+'Input Sheet'!U26</f>
        <v>0</v>
      </c>
      <c r="V47" s="191">
        <f>+'Input Sheet'!V26</f>
        <v>0</v>
      </c>
      <c r="W47" s="191">
        <f>+'Input Sheet'!W26</f>
        <v>0</v>
      </c>
      <c r="X47" s="192"/>
      <c r="Y47" s="193"/>
      <c r="Z47" s="88"/>
    </row>
    <row r="48" spans="1:46">
      <c r="A48" s="10" t="s">
        <v>141</v>
      </c>
      <c r="B48" s="3"/>
      <c r="C48" s="109"/>
      <c r="D48" s="9">
        <v>0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85"/>
      <c r="Z48" s="88"/>
    </row>
    <row r="49" spans="1:27">
      <c r="A49" s="10" t="s">
        <v>33</v>
      </c>
      <c r="B49" s="73">
        <f>+'Input Sheet'!C5</f>
        <v>0.8</v>
      </c>
      <c r="C49" s="109"/>
      <c r="D49" s="9">
        <f t="shared" ref="D49:W49" si="10">IF($F$6-D1&lt;&gt;0,0,$B$49*$Y$25)</f>
        <v>0</v>
      </c>
      <c r="E49" s="9">
        <f t="shared" si="10"/>
        <v>0</v>
      </c>
      <c r="F49" s="9">
        <f t="shared" si="10"/>
        <v>0</v>
      </c>
      <c r="G49" s="9">
        <f t="shared" si="10"/>
        <v>0</v>
      </c>
      <c r="H49" s="9">
        <f t="shared" si="10"/>
        <v>0</v>
      </c>
      <c r="I49" s="9"/>
      <c r="J49" s="9">
        <f>+'Input Sheet'!D5</f>
        <v>10461191</v>
      </c>
      <c r="K49" s="9">
        <f t="shared" si="10"/>
        <v>0</v>
      </c>
      <c r="L49" s="9">
        <f t="shared" si="10"/>
        <v>0</v>
      </c>
      <c r="M49" s="9"/>
      <c r="N49" s="9">
        <f t="shared" si="10"/>
        <v>0</v>
      </c>
      <c r="O49" s="9">
        <f t="shared" si="10"/>
        <v>0</v>
      </c>
      <c r="P49" s="9">
        <f t="shared" si="10"/>
        <v>0</v>
      </c>
      <c r="Q49" s="9">
        <f t="shared" si="10"/>
        <v>0</v>
      </c>
      <c r="R49" s="9">
        <f t="shared" si="10"/>
        <v>0</v>
      </c>
      <c r="S49" s="9">
        <f t="shared" si="10"/>
        <v>0</v>
      </c>
      <c r="T49" s="9">
        <f t="shared" si="10"/>
        <v>0</v>
      </c>
      <c r="U49" s="9">
        <f t="shared" si="10"/>
        <v>0</v>
      </c>
      <c r="V49" s="9">
        <f t="shared" si="10"/>
        <v>0</v>
      </c>
      <c r="W49" s="9">
        <f t="shared" si="10"/>
        <v>0</v>
      </c>
      <c r="X49" s="9">
        <f>SUM(N49:W49)</f>
        <v>0</v>
      </c>
      <c r="Y49" s="9">
        <f>IF(AA6-Y1&lt;&gt;0,0,$B$49*Y25)</f>
        <v>11840000</v>
      </c>
      <c r="Z49" s="88"/>
    </row>
    <row r="50" spans="1:27" s="10" customFormat="1">
      <c r="A50" s="17" t="s">
        <v>34</v>
      </c>
      <c r="B50" s="11"/>
      <c r="C50" s="109"/>
      <c r="D50" s="12">
        <f t="shared" ref="D50:W50" si="11">SUM(D39:D49)</f>
        <v>2930137.2749999999</v>
      </c>
      <c r="E50" s="12">
        <f t="shared" si="11"/>
        <v>2924512.5877499999</v>
      </c>
      <c r="F50" s="12">
        <f t="shared" si="11"/>
        <v>2917753.3443825003</v>
      </c>
      <c r="G50" s="12">
        <f t="shared" si="11"/>
        <v>2913066.9834639751</v>
      </c>
      <c r="H50" s="12">
        <f t="shared" si="11"/>
        <v>2910642.4122178946</v>
      </c>
      <c r="I50" s="12">
        <f t="shared" si="11"/>
        <v>2910490.2128344313</v>
      </c>
      <c r="J50" s="12">
        <f t="shared" si="11"/>
        <v>13373478.649719466</v>
      </c>
      <c r="K50" s="12">
        <f t="shared" si="11"/>
        <v>0</v>
      </c>
      <c r="L50" s="12">
        <f t="shared" si="11"/>
        <v>0</v>
      </c>
      <c r="M50" s="12">
        <f t="shared" si="11"/>
        <v>0</v>
      </c>
      <c r="N50" s="12">
        <f t="shared" si="11"/>
        <v>0</v>
      </c>
      <c r="O50" s="12">
        <f t="shared" si="11"/>
        <v>0</v>
      </c>
      <c r="P50" s="12">
        <f t="shared" si="11"/>
        <v>0</v>
      </c>
      <c r="Q50" s="12">
        <f t="shared" si="11"/>
        <v>0</v>
      </c>
      <c r="R50" s="12">
        <f t="shared" si="11"/>
        <v>0</v>
      </c>
      <c r="S50" s="12">
        <f t="shared" si="11"/>
        <v>0</v>
      </c>
      <c r="T50" s="12">
        <f t="shared" si="11"/>
        <v>0</v>
      </c>
      <c r="U50" s="12">
        <f t="shared" si="11"/>
        <v>0</v>
      </c>
      <c r="V50" s="12">
        <f t="shared" si="11"/>
        <v>0</v>
      </c>
      <c r="W50" s="12">
        <f t="shared" si="11"/>
        <v>0</v>
      </c>
      <c r="X50" s="12">
        <f>SUM(N50:W50)</f>
        <v>0</v>
      </c>
      <c r="Y50" s="13">
        <f>SUM(C50:W50)</f>
        <v>30880081.465368267</v>
      </c>
    </row>
    <row r="51" spans="1:27" s="10" customFormat="1">
      <c r="B51" s="11"/>
      <c r="C51" s="110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15"/>
    </row>
    <row r="52" spans="1:27" s="10" customFormat="1">
      <c r="A52" s="10" t="s">
        <v>35</v>
      </c>
      <c r="B52" s="11"/>
      <c r="C52" s="111"/>
      <c r="D52" s="16">
        <f>+D86</f>
        <v>740000</v>
      </c>
      <c r="E52" s="16">
        <f t="shared" ref="E52:M52" si="12">+E86</f>
        <v>1406000</v>
      </c>
      <c r="F52" s="16">
        <f t="shared" si="12"/>
        <v>1265400</v>
      </c>
      <c r="G52" s="16">
        <f t="shared" si="12"/>
        <v>1139600</v>
      </c>
      <c r="H52" s="16">
        <f>+IF('Input Sheet'!G49-Model!H1&gt;=0,H86,H77)</f>
        <v>1025640</v>
      </c>
      <c r="I52" s="16">
        <f t="shared" si="12"/>
        <v>922040</v>
      </c>
      <c r="J52" s="16">
        <f t="shared" si="12"/>
        <v>8301320</v>
      </c>
      <c r="K52" s="16">
        <f t="shared" si="12"/>
        <v>0</v>
      </c>
      <c r="L52" s="16">
        <f t="shared" si="12"/>
        <v>0</v>
      </c>
      <c r="M52" s="16">
        <f t="shared" si="12"/>
        <v>0</v>
      </c>
      <c r="N52" s="16">
        <f t="shared" ref="N52:W52" si="13">+N86</f>
        <v>0</v>
      </c>
      <c r="O52" s="16">
        <f t="shared" si="13"/>
        <v>0</v>
      </c>
      <c r="P52" s="16">
        <f t="shared" si="13"/>
        <v>0</v>
      </c>
      <c r="Q52" s="16">
        <f t="shared" si="13"/>
        <v>0</v>
      </c>
      <c r="R52" s="16">
        <f t="shared" si="13"/>
        <v>0</v>
      </c>
      <c r="S52" s="16">
        <f t="shared" si="13"/>
        <v>0</v>
      </c>
      <c r="T52" s="16">
        <f t="shared" si="13"/>
        <v>0</v>
      </c>
      <c r="U52" s="16">
        <f t="shared" si="13"/>
        <v>0</v>
      </c>
      <c r="V52" s="16">
        <f t="shared" si="13"/>
        <v>0</v>
      </c>
      <c r="W52" s="16">
        <f t="shared" si="13"/>
        <v>0</v>
      </c>
      <c r="X52" s="80">
        <f>SUM(N52:W52)</f>
        <v>0</v>
      </c>
      <c r="Y52" s="82">
        <f>SUM(C52:W52)</f>
        <v>14800000</v>
      </c>
      <c r="Z52" s="89">
        <f>+Y52-Y86</f>
        <v>0</v>
      </c>
    </row>
    <row r="53" spans="1:27" s="10" customFormat="1">
      <c r="A53" s="10" t="s">
        <v>36</v>
      </c>
      <c r="B53" s="11"/>
      <c r="C53" s="109"/>
      <c r="D53" s="9">
        <f>+'Input Sheet'!D76</f>
        <v>1189352.7</v>
      </c>
      <c r="E53" s="9">
        <f>+'Input Sheet'!E76</f>
        <v>1189352.7</v>
      </c>
      <c r="F53" s="9">
        <f>+'Input Sheet'!F76</f>
        <v>1189352.7</v>
      </c>
      <c r="G53" s="9">
        <f>+'Input Sheet'!G76</f>
        <v>1189352.7</v>
      </c>
      <c r="H53" s="9">
        <f>+'Input Sheet'!H76</f>
        <v>1189352.7</v>
      </c>
      <c r="I53" s="9">
        <f>+'Input Sheet'!I76</f>
        <v>1189352.7</v>
      </c>
      <c r="J53" s="9">
        <f>+'Input Sheet'!J76</f>
        <v>1189352.7</v>
      </c>
      <c r="K53" s="9">
        <f>+'Input Sheet'!K76</f>
        <v>0</v>
      </c>
      <c r="L53" s="9">
        <f>+'Input Sheet'!L76</f>
        <v>0</v>
      </c>
      <c r="M53" s="9">
        <f>+'Input Sheet'!M76</f>
        <v>0</v>
      </c>
      <c r="N53" s="9">
        <f>+'Input Sheet'!N76</f>
        <v>0</v>
      </c>
      <c r="O53" s="9">
        <f>+'Input Sheet'!O76</f>
        <v>0</v>
      </c>
      <c r="P53" s="9">
        <f>+'Input Sheet'!P76</f>
        <v>0</v>
      </c>
      <c r="Q53" s="9">
        <f>+'Input Sheet'!Q76</f>
        <v>0</v>
      </c>
      <c r="R53" s="9">
        <f>+'Input Sheet'!R76</f>
        <v>0</v>
      </c>
      <c r="S53" s="9">
        <f>+'Input Sheet'!S76</f>
        <v>0</v>
      </c>
      <c r="T53" s="9">
        <f>+'Input Sheet'!T76</f>
        <v>0</v>
      </c>
      <c r="U53" s="9">
        <f>+'Input Sheet'!U76</f>
        <v>0</v>
      </c>
      <c r="V53" s="9">
        <f>+'Input Sheet'!V76</f>
        <v>0</v>
      </c>
      <c r="W53" s="9">
        <f>+'Input Sheet'!W76</f>
        <v>0</v>
      </c>
      <c r="X53" s="80">
        <f>SUM(N53:W53)</f>
        <v>0</v>
      </c>
      <c r="Y53" s="82">
        <f>SUM(C53:W53)</f>
        <v>8325468.9000000004</v>
      </c>
      <c r="Z53" s="11"/>
    </row>
    <row r="54" spans="1:27" s="10" customFormat="1">
      <c r="A54" s="10" t="s">
        <v>37</v>
      </c>
      <c r="B54" s="11"/>
      <c r="C54" s="109"/>
      <c r="D54" s="9">
        <f>+D103</f>
        <v>975024</v>
      </c>
      <c r="E54" s="9">
        <f t="shared" ref="E54:J54" si="14">+E103</f>
        <v>951078.14723524917</v>
      </c>
      <c r="F54" s="9">
        <f t="shared" si="14"/>
        <v>925379.45804811863</v>
      </c>
      <c r="G54" s="9">
        <f t="shared" si="14"/>
        <v>897799.62481248996</v>
      </c>
      <c r="H54" s="9">
        <f t="shared" si="14"/>
        <v>868200.94778401346</v>
      </c>
      <c r="I54" s="9">
        <f t="shared" si="14"/>
        <v>836435.64759705239</v>
      </c>
      <c r="J54" s="9">
        <f t="shared" si="14"/>
        <v>802345.12743640575</v>
      </c>
      <c r="K54" s="9">
        <f>+K103</f>
        <v>0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80">
        <f>SUM(N54:W54)</f>
        <v>0</v>
      </c>
      <c r="Y54" s="82">
        <f>SUM(C54:W54)</f>
        <v>6256262.952913329</v>
      </c>
      <c r="Z54" s="90">
        <v>0</v>
      </c>
      <c r="AA54" s="91" t="s">
        <v>38</v>
      </c>
    </row>
    <row r="55" spans="1:27" s="10" customFormat="1">
      <c r="A55" s="10" t="s">
        <v>39</v>
      </c>
      <c r="B55" s="11"/>
      <c r="C55" s="109"/>
      <c r="D55" s="9">
        <f>+Summary!D30</f>
        <v>163900.42000000001</v>
      </c>
      <c r="E55" s="9">
        <f>IF(E50=0,0,+D55)</f>
        <v>163900.42000000001</v>
      </c>
      <c r="F55" s="9">
        <f t="shared" ref="F55:M55" si="15">IF(F50=0,0,+E55)</f>
        <v>163900.42000000001</v>
      </c>
      <c r="G55" s="9">
        <f t="shared" si="15"/>
        <v>163900.42000000001</v>
      </c>
      <c r="H55" s="9">
        <f t="shared" si="15"/>
        <v>163900.42000000001</v>
      </c>
      <c r="I55" s="9">
        <f t="shared" si="15"/>
        <v>163900.42000000001</v>
      </c>
      <c r="J55" s="9">
        <f t="shared" si="15"/>
        <v>163900.42000000001</v>
      </c>
      <c r="K55" s="9">
        <f t="shared" si="15"/>
        <v>0</v>
      </c>
      <c r="L55" s="9">
        <f t="shared" si="15"/>
        <v>0</v>
      </c>
      <c r="M55" s="9">
        <f t="shared" si="15"/>
        <v>0</v>
      </c>
      <c r="N55" s="9">
        <f t="shared" ref="N55:W55" si="16">IF(N50=0,0,+M55*1.03+(M23+M24)*0.015)</f>
        <v>0</v>
      </c>
      <c r="O55" s="9">
        <f t="shared" si="16"/>
        <v>0</v>
      </c>
      <c r="P55" s="9">
        <f t="shared" si="16"/>
        <v>0</v>
      </c>
      <c r="Q55" s="9">
        <f t="shared" si="16"/>
        <v>0</v>
      </c>
      <c r="R55" s="9">
        <f t="shared" si="16"/>
        <v>0</v>
      </c>
      <c r="S55" s="9">
        <f t="shared" si="16"/>
        <v>0</v>
      </c>
      <c r="T55" s="9">
        <f t="shared" si="16"/>
        <v>0</v>
      </c>
      <c r="U55" s="9">
        <f t="shared" si="16"/>
        <v>0</v>
      </c>
      <c r="V55" s="9">
        <f t="shared" si="16"/>
        <v>0</v>
      </c>
      <c r="W55" s="9">
        <f t="shared" si="16"/>
        <v>0</v>
      </c>
      <c r="X55" s="80">
        <f>SUM(N55:W55)</f>
        <v>0</v>
      </c>
      <c r="Y55" s="82">
        <f>SUM(C55:W55)</f>
        <v>1147302.9400000002</v>
      </c>
      <c r="Z55" s="11"/>
    </row>
    <row r="56" spans="1:27" s="10" customFormat="1">
      <c r="A56" s="17" t="s">
        <v>40</v>
      </c>
      <c r="B56" s="11"/>
      <c r="C56" s="109"/>
      <c r="D56" s="12">
        <f t="shared" ref="D56:K56" si="17">SUM(D52:D55)</f>
        <v>3068277.12</v>
      </c>
      <c r="E56" s="12">
        <f t="shared" si="17"/>
        <v>3710331.2672352493</v>
      </c>
      <c r="F56" s="12">
        <f t="shared" si="17"/>
        <v>3544032.5780481189</v>
      </c>
      <c r="G56" s="12">
        <f>SUM(G52:G55)</f>
        <v>3390652.74481249</v>
      </c>
      <c r="H56" s="12">
        <f t="shared" si="17"/>
        <v>3247094.0677840137</v>
      </c>
      <c r="I56" s="12">
        <f t="shared" si="17"/>
        <v>3111728.7675970523</v>
      </c>
      <c r="J56" s="12">
        <f t="shared" si="17"/>
        <v>10456918.247436404</v>
      </c>
      <c r="K56" s="12">
        <f t="shared" si="17"/>
        <v>0</v>
      </c>
      <c r="L56" s="12">
        <f>SUM(L52:L55)</f>
        <v>0</v>
      </c>
      <c r="M56" s="12">
        <f>SUM(M52:M55)</f>
        <v>0</v>
      </c>
      <c r="N56" s="12">
        <f t="shared" ref="N56:S56" si="18">SUM(N52:N55)</f>
        <v>0</v>
      </c>
      <c r="O56" s="12">
        <f t="shared" si="18"/>
        <v>0</v>
      </c>
      <c r="P56" s="12">
        <f t="shared" si="18"/>
        <v>0</v>
      </c>
      <c r="Q56" s="12">
        <f t="shared" si="18"/>
        <v>0</v>
      </c>
      <c r="R56" s="12">
        <f t="shared" si="18"/>
        <v>0</v>
      </c>
      <c r="S56" s="12">
        <f t="shared" si="18"/>
        <v>0</v>
      </c>
      <c r="T56" s="12">
        <f t="shared" ref="T56:Y56" si="19">SUM(T52:T55)</f>
        <v>0</v>
      </c>
      <c r="U56" s="12">
        <f t="shared" si="19"/>
        <v>0</v>
      </c>
      <c r="V56" s="12">
        <f t="shared" si="19"/>
        <v>0</v>
      </c>
      <c r="W56" s="12">
        <f t="shared" si="19"/>
        <v>0</v>
      </c>
      <c r="X56" s="12">
        <f t="shared" si="19"/>
        <v>0</v>
      </c>
      <c r="Y56" s="18">
        <f t="shared" si="19"/>
        <v>30529034.792913329</v>
      </c>
      <c r="Z56" s="11"/>
    </row>
    <row r="57" spans="1:27" s="10" customFormat="1">
      <c r="B57" s="11"/>
      <c r="C57" s="110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15"/>
    </row>
    <row r="58" spans="1:27" s="10" customFormat="1">
      <c r="A58" s="10" t="s">
        <v>41</v>
      </c>
      <c r="B58" s="11"/>
      <c r="C58" s="109"/>
      <c r="D58" s="9">
        <f t="shared" ref="D58:W58" si="20">+D50-D56+C29</f>
        <v>-138139.8450000002</v>
      </c>
      <c r="E58" s="9">
        <f t="shared" si="20"/>
        <v>-785818.67948524933</v>
      </c>
      <c r="F58" s="9">
        <f t="shared" si="20"/>
        <v>-626279.23366561858</v>
      </c>
      <c r="G58" s="9">
        <f t="shared" si="20"/>
        <v>-477585.76134851482</v>
      </c>
      <c r="H58" s="9">
        <f t="shared" si="20"/>
        <v>-336451.65556611912</v>
      </c>
      <c r="I58" s="9">
        <f t="shared" si="20"/>
        <v>-201238.55476262094</v>
      </c>
      <c r="J58" s="9">
        <f t="shared" si="20"/>
        <v>2916560.4022830613</v>
      </c>
      <c r="K58" s="9">
        <f t="shared" si="20"/>
        <v>0</v>
      </c>
      <c r="L58" s="9">
        <f t="shared" si="20"/>
        <v>0</v>
      </c>
      <c r="M58" s="9">
        <f t="shared" si="20"/>
        <v>0</v>
      </c>
      <c r="N58" s="9">
        <f t="shared" si="20"/>
        <v>0</v>
      </c>
      <c r="O58" s="9">
        <f t="shared" si="20"/>
        <v>0</v>
      </c>
      <c r="P58" s="9">
        <f t="shared" si="20"/>
        <v>0</v>
      </c>
      <c r="Q58" s="9">
        <f t="shared" si="20"/>
        <v>0</v>
      </c>
      <c r="R58" s="9">
        <f t="shared" si="20"/>
        <v>0</v>
      </c>
      <c r="S58" s="9">
        <f t="shared" si="20"/>
        <v>0</v>
      </c>
      <c r="T58" s="9">
        <f t="shared" si="20"/>
        <v>0</v>
      </c>
      <c r="U58" s="9">
        <f t="shared" si="20"/>
        <v>0</v>
      </c>
      <c r="V58" s="9">
        <f t="shared" si="20"/>
        <v>0</v>
      </c>
      <c r="W58" s="9">
        <f t="shared" si="20"/>
        <v>0</v>
      </c>
      <c r="X58" s="80">
        <f>SUM(N58:W58)</f>
        <v>0</v>
      </c>
      <c r="Y58" s="105">
        <f>SUM(C58:W58)</f>
        <v>351046.67245493829</v>
      </c>
    </row>
    <row r="59" spans="1:27" s="10" customFormat="1">
      <c r="A59" s="10" t="s">
        <v>42</v>
      </c>
      <c r="B59" s="11"/>
      <c r="C59" s="109"/>
      <c r="D59" s="9">
        <f t="shared" ref="D59:L59" si="21">+D64</f>
        <v>-53874.539550000081</v>
      </c>
      <c r="E59" s="9">
        <f t="shared" si="21"/>
        <v>-306469.28499924723</v>
      </c>
      <c r="F59" s="9">
        <f t="shared" si="21"/>
        <v>-244248.90112959125</v>
      </c>
      <c r="G59" s="9">
        <f t="shared" si="21"/>
        <v>-186258.44692592078</v>
      </c>
      <c r="H59" s="9">
        <f t="shared" si="21"/>
        <v>-131216.14567078647</v>
      </c>
      <c r="I59" s="9">
        <f t="shared" si="21"/>
        <v>-78483.03635742217</v>
      </c>
      <c r="J59" s="9">
        <f t="shared" si="21"/>
        <v>1137458.5568903938</v>
      </c>
      <c r="K59" s="9">
        <f t="shared" si="21"/>
        <v>0</v>
      </c>
      <c r="L59" s="9">
        <f t="shared" si="21"/>
        <v>0</v>
      </c>
      <c r="M59" s="9">
        <f t="shared" ref="M59:W59" si="22">+M64</f>
        <v>0</v>
      </c>
      <c r="N59" s="9">
        <f t="shared" si="22"/>
        <v>0</v>
      </c>
      <c r="O59" s="9">
        <f t="shared" si="22"/>
        <v>0</v>
      </c>
      <c r="P59" s="9">
        <f t="shared" si="22"/>
        <v>0</v>
      </c>
      <c r="Q59" s="9">
        <f t="shared" si="22"/>
        <v>0</v>
      </c>
      <c r="R59" s="9">
        <f t="shared" si="22"/>
        <v>0</v>
      </c>
      <c r="S59" s="9">
        <f t="shared" si="22"/>
        <v>0</v>
      </c>
      <c r="T59" s="9">
        <f t="shared" si="22"/>
        <v>0</v>
      </c>
      <c r="U59" s="9">
        <f t="shared" si="22"/>
        <v>0</v>
      </c>
      <c r="V59" s="9">
        <f t="shared" si="22"/>
        <v>0</v>
      </c>
      <c r="W59" s="9">
        <f t="shared" si="22"/>
        <v>0</v>
      </c>
      <c r="X59" s="80">
        <f>SUM(N59:W59)</f>
        <v>0</v>
      </c>
      <c r="Y59" s="105">
        <f>SUM(C59:W59)</f>
        <v>136908.20225742587</v>
      </c>
    </row>
    <row r="60" spans="1:27" s="10" customFormat="1">
      <c r="A60" s="10" t="s">
        <v>43</v>
      </c>
      <c r="B60" s="11"/>
      <c r="C60" s="109"/>
      <c r="D60" s="12">
        <f>+D58-D59</f>
        <v>-84265.305450000131</v>
      </c>
      <c r="E60" s="12">
        <f t="shared" ref="E60:M60" si="23">+E58-E59</f>
        <v>-479349.3944860021</v>
      </c>
      <c r="F60" s="12">
        <f t="shared" si="23"/>
        <v>-382030.3325360273</v>
      </c>
      <c r="G60" s="12">
        <f t="shared" si="23"/>
        <v>-291327.31442259403</v>
      </c>
      <c r="H60" s="12">
        <f t="shared" si="23"/>
        <v>-205235.50989533265</v>
      </c>
      <c r="I60" s="12">
        <f t="shared" si="23"/>
        <v>-122755.51840519877</v>
      </c>
      <c r="J60" s="12">
        <f t="shared" si="23"/>
        <v>1779101.8453926675</v>
      </c>
      <c r="K60" s="12">
        <f t="shared" si="23"/>
        <v>0</v>
      </c>
      <c r="L60" s="12">
        <f t="shared" si="23"/>
        <v>0</v>
      </c>
      <c r="M60" s="12">
        <f t="shared" si="23"/>
        <v>0</v>
      </c>
      <c r="N60" s="12">
        <f t="shared" ref="N60:X60" si="24">+N58-N59</f>
        <v>0</v>
      </c>
      <c r="O60" s="12">
        <f t="shared" si="24"/>
        <v>0</v>
      </c>
      <c r="P60" s="12">
        <f t="shared" si="24"/>
        <v>0</v>
      </c>
      <c r="Q60" s="12">
        <f t="shared" si="24"/>
        <v>0</v>
      </c>
      <c r="R60" s="12">
        <f t="shared" si="24"/>
        <v>0</v>
      </c>
      <c r="S60" s="12">
        <f t="shared" si="24"/>
        <v>0</v>
      </c>
      <c r="T60" s="12">
        <f t="shared" si="24"/>
        <v>0</v>
      </c>
      <c r="U60" s="12">
        <f t="shared" si="24"/>
        <v>0</v>
      </c>
      <c r="V60" s="12">
        <f t="shared" si="24"/>
        <v>0</v>
      </c>
      <c r="W60" s="12">
        <f t="shared" si="24"/>
        <v>0</v>
      </c>
      <c r="X60" s="12">
        <f t="shared" si="24"/>
        <v>0</v>
      </c>
      <c r="Y60" s="13">
        <f>SUM(Y58:Y59)</f>
        <v>487954.87471236417</v>
      </c>
    </row>
    <row r="61" spans="1:27" s="10" customFormat="1">
      <c r="B61" s="11"/>
      <c r="C61" s="110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15"/>
    </row>
    <row r="62" spans="1:27" s="10" customFormat="1">
      <c r="A62" s="8" t="s">
        <v>44</v>
      </c>
      <c r="B62" s="11"/>
      <c r="C62" s="112"/>
      <c r="D62" s="19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5"/>
    </row>
    <row r="63" spans="1:27" s="10" customFormat="1">
      <c r="A63" s="8" t="s">
        <v>45</v>
      </c>
      <c r="C63" s="113"/>
      <c r="D63" s="20">
        <f>+D58</f>
        <v>-138139.8450000002</v>
      </c>
      <c r="E63" s="20">
        <f t="shared" ref="E63:L63" si="25">+E58</f>
        <v>-785818.67948524933</v>
      </c>
      <c r="F63" s="20">
        <f t="shared" si="25"/>
        <v>-626279.23366561858</v>
      </c>
      <c r="G63" s="20">
        <f t="shared" si="25"/>
        <v>-477585.76134851482</v>
      </c>
      <c r="H63" s="20">
        <f t="shared" si="25"/>
        <v>-336451.65556611912</v>
      </c>
      <c r="I63" s="20">
        <f t="shared" si="25"/>
        <v>-201238.55476262094</v>
      </c>
      <c r="J63" s="20">
        <f t="shared" si="25"/>
        <v>2916560.4022830613</v>
      </c>
      <c r="K63" s="20">
        <f t="shared" si="25"/>
        <v>0</v>
      </c>
      <c r="L63" s="20">
        <f t="shared" si="25"/>
        <v>0</v>
      </c>
      <c r="M63" s="20">
        <f t="shared" ref="M63:W63" si="26">+M58</f>
        <v>0</v>
      </c>
      <c r="N63" s="20">
        <f t="shared" si="26"/>
        <v>0</v>
      </c>
      <c r="O63" s="20">
        <f t="shared" si="26"/>
        <v>0</v>
      </c>
      <c r="P63" s="20">
        <f t="shared" si="26"/>
        <v>0</v>
      </c>
      <c r="Q63" s="20">
        <f t="shared" si="26"/>
        <v>0</v>
      </c>
      <c r="R63" s="20">
        <f t="shared" si="26"/>
        <v>0</v>
      </c>
      <c r="S63" s="20">
        <f t="shared" si="26"/>
        <v>0</v>
      </c>
      <c r="T63" s="20">
        <f t="shared" si="26"/>
        <v>0</v>
      </c>
      <c r="U63" s="20">
        <f t="shared" si="26"/>
        <v>0</v>
      </c>
      <c r="V63" s="20">
        <f t="shared" si="26"/>
        <v>0</v>
      </c>
      <c r="W63" s="20">
        <f t="shared" si="26"/>
        <v>0</v>
      </c>
      <c r="X63" s="80">
        <f>SUM(N63:W63)</f>
        <v>0</v>
      </c>
      <c r="Y63" s="105">
        <f>SUM(C63:W63)</f>
        <v>351046.67245493829</v>
      </c>
    </row>
    <row r="64" spans="1:27" s="10" customFormat="1">
      <c r="A64" s="8" t="s">
        <v>46</v>
      </c>
      <c r="B64" s="92">
        <f>+'Input Sheet'!C9</f>
        <v>0.39</v>
      </c>
      <c r="C64" s="113"/>
      <c r="D64" s="20">
        <f>D63*$B$64+B20*B64</f>
        <v>-53874.539550000081</v>
      </c>
      <c r="E64" s="20">
        <f t="shared" ref="E64:W64" si="27">E63*$B$64</f>
        <v>-306469.28499924723</v>
      </c>
      <c r="F64" s="20">
        <f t="shared" si="27"/>
        <v>-244248.90112959125</v>
      </c>
      <c r="G64" s="20">
        <f t="shared" si="27"/>
        <v>-186258.44692592078</v>
      </c>
      <c r="H64" s="20">
        <f t="shared" si="27"/>
        <v>-131216.14567078647</v>
      </c>
      <c r="I64" s="20">
        <f t="shared" si="27"/>
        <v>-78483.03635742217</v>
      </c>
      <c r="J64" s="20">
        <f t="shared" si="27"/>
        <v>1137458.5568903938</v>
      </c>
      <c r="K64" s="20">
        <f t="shared" si="27"/>
        <v>0</v>
      </c>
      <c r="L64" s="20">
        <f t="shared" si="27"/>
        <v>0</v>
      </c>
      <c r="M64" s="20">
        <f t="shared" si="27"/>
        <v>0</v>
      </c>
      <c r="N64" s="20">
        <f t="shared" si="27"/>
        <v>0</v>
      </c>
      <c r="O64" s="20">
        <f t="shared" si="27"/>
        <v>0</v>
      </c>
      <c r="P64" s="20">
        <f t="shared" si="27"/>
        <v>0</v>
      </c>
      <c r="Q64" s="20">
        <f t="shared" si="27"/>
        <v>0</v>
      </c>
      <c r="R64" s="20">
        <f t="shared" si="27"/>
        <v>0</v>
      </c>
      <c r="S64" s="20">
        <f t="shared" si="27"/>
        <v>0</v>
      </c>
      <c r="T64" s="20">
        <f t="shared" si="27"/>
        <v>0</v>
      </c>
      <c r="U64" s="20">
        <f t="shared" si="27"/>
        <v>0</v>
      </c>
      <c r="V64" s="20">
        <f t="shared" si="27"/>
        <v>0</v>
      </c>
      <c r="W64" s="20">
        <f t="shared" si="27"/>
        <v>0</v>
      </c>
      <c r="X64" s="80">
        <f>SUM(N64:W64)</f>
        <v>0</v>
      </c>
      <c r="Y64" s="105">
        <f>SUM(C64:W64)</f>
        <v>136908.20225742587</v>
      </c>
    </row>
    <row r="65" spans="1:32" s="10" customFormat="1">
      <c r="A65" s="8" t="s">
        <v>47</v>
      </c>
      <c r="B65" s="108" t="s">
        <v>48</v>
      </c>
      <c r="C65" s="113"/>
      <c r="D65" s="20">
        <f t="shared" ref="D65:J65" si="28">+D107</f>
        <v>327129.1361304759</v>
      </c>
      <c r="E65" s="20">
        <f t="shared" si="28"/>
        <v>351074.98889522674</v>
      </c>
      <c r="F65" s="20">
        <f t="shared" si="28"/>
        <v>376773.67808235728</v>
      </c>
      <c r="G65" s="20">
        <f t="shared" si="28"/>
        <v>404353.51131798595</v>
      </c>
      <c r="H65" s="20">
        <f t="shared" si="28"/>
        <v>433952.18834646244</v>
      </c>
      <c r="I65" s="20">
        <f t="shared" si="28"/>
        <v>465717.48853342352</v>
      </c>
      <c r="J65" s="20">
        <f t="shared" si="28"/>
        <v>10960999.008694071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80">
        <f>SUM(N65:W65)</f>
        <v>0</v>
      </c>
      <c r="Y65" s="105">
        <f>SUM(C65:W65)</f>
        <v>13320000.000000004</v>
      </c>
    </row>
    <row r="66" spans="1:32" s="10" customFormat="1">
      <c r="A66" s="8" t="s">
        <v>49</v>
      </c>
      <c r="B66" s="21">
        <f>IRR(C66:J66)</f>
        <v>8.2168991853144621E-2</v>
      </c>
      <c r="C66" s="228">
        <f>-C24+B20</f>
        <v>-1479999.9999999998</v>
      </c>
      <c r="D66" s="228">
        <f>+D60+D52-D65</f>
        <v>328605.55841952399</v>
      </c>
      <c r="E66" s="228">
        <f t="shared" ref="E66:W66" si="29">+E60+E52-E65</f>
        <v>575575.61661877111</v>
      </c>
      <c r="F66" s="228">
        <f t="shared" si="29"/>
        <v>506595.98938161542</v>
      </c>
      <c r="G66" s="228">
        <f t="shared" si="29"/>
        <v>443919.17425942002</v>
      </c>
      <c r="H66" s="228">
        <f t="shared" si="29"/>
        <v>386452.30175820494</v>
      </c>
      <c r="I66" s="228">
        <f t="shared" si="29"/>
        <v>333566.99306137767</v>
      </c>
      <c r="J66" s="228">
        <f t="shared" si="29"/>
        <v>-880577.16330140457</v>
      </c>
      <c r="K66" s="22">
        <f t="shared" si="29"/>
        <v>0</v>
      </c>
      <c r="L66" s="22">
        <f t="shared" si="29"/>
        <v>0</v>
      </c>
      <c r="M66" s="22">
        <f t="shared" si="29"/>
        <v>0</v>
      </c>
      <c r="N66" s="22">
        <f t="shared" si="29"/>
        <v>0</v>
      </c>
      <c r="O66" s="22">
        <f t="shared" si="29"/>
        <v>0</v>
      </c>
      <c r="P66" s="22">
        <f t="shared" si="29"/>
        <v>0</v>
      </c>
      <c r="Q66" s="22">
        <f t="shared" si="29"/>
        <v>0</v>
      </c>
      <c r="R66" s="22">
        <f t="shared" si="29"/>
        <v>0</v>
      </c>
      <c r="S66" s="22">
        <f t="shared" si="29"/>
        <v>0</v>
      </c>
      <c r="T66" s="22">
        <f t="shared" si="29"/>
        <v>0</v>
      </c>
      <c r="U66" s="22">
        <f t="shared" si="29"/>
        <v>0</v>
      </c>
      <c r="V66" s="22">
        <f t="shared" si="29"/>
        <v>0</v>
      </c>
      <c r="W66" s="22">
        <f t="shared" si="29"/>
        <v>0</v>
      </c>
      <c r="X66" s="22">
        <f>SUM(N66:W66)</f>
        <v>0</v>
      </c>
      <c r="Y66" s="22">
        <f>SUM(C66:W66)</f>
        <v>214138.47019750881</v>
      </c>
    </row>
    <row r="67" spans="1:32" s="10" customFormat="1">
      <c r="C67" s="228">
        <f>SUM(C66:J66)</f>
        <v>214138.47019750881</v>
      </c>
      <c r="D67" s="22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4"/>
    </row>
    <row r="68" spans="1:32" s="10" customFormat="1">
      <c r="A68" s="128" t="str">
        <f>+'Input Sheet'!A13</f>
        <v>NPV @</v>
      </c>
      <c r="B68" s="129">
        <f>+'Input Sheet'!B13</f>
        <v>9.5000000000000001E-2</v>
      </c>
      <c r="C68" s="25">
        <f>NPV(B68,D66:W66)+C66</f>
        <v>-32762.923093100311</v>
      </c>
      <c r="D68" s="22"/>
      <c r="E68" s="22"/>
      <c r="F68" s="22"/>
      <c r="G68" s="22"/>
      <c r="H68" s="22"/>
      <c r="I68" s="22"/>
      <c r="J68" s="22">
        <f>+J54+J65</f>
        <v>11763344.136130476</v>
      </c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 spans="1:32" s="10" customFormat="1">
      <c r="B69" s="224"/>
      <c r="C69" s="22"/>
      <c r="D69" s="22"/>
      <c r="E69" s="84"/>
      <c r="F69" s="84"/>
      <c r="G69" s="84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4"/>
    </row>
    <row r="70" spans="1:32" s="93" customFormat="1" ht="10.8" thickBot="1">
      <c r="A70" s="26"/>
      <c r="B70" s="27"/>
      <c r="C70" s="28"/>
      <c r="D70" s="28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30"/>
    </row>
    <row r="71" spans="1:32" s="10" customFormat="1" ht="10.8" thickBot="1">
      <c r="C71" s="22"/>
      <c r="D71" s="22"/>
      <c r="E71" s="31" t="s">
        <v>50</v>
      </c>
      <c r="F71" s="32"/>
      <c r="G71" s="3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103">
        <f>SUM(K78:V78)</f>
        <v>0.79330000000000012</v>
      </c>
      <c r="X71" s="103"/>
      <c r="Y71" s="24"/>
    </row>
    <row r="72" spans="1:32" s="10" customFormat="1">
      <c r="C72" s="34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15"/>
    </row>
    <row r="73" spans="1:32" s="10" customFormat="1">
      <c r="B73" s="35"/>
      <c r="C73" s="1">
        <v>0</v>
      </c>
      <c r="D73" s="1">
        <v>1</v>
      </c>
      <c r="E73" s="1">
        <v>2</v>
      </c>
      <c r="F73" s="1">
        <v>3</v>
      </c>
      <c r="G73" s="1">
        <v>4</v>
      </c>
      <c r="H73" s="1">
        <v>5</v>
      </c>
      <c r="I73" s="1">
        <v>6</v>
      </c>
      <c r="J73" s="1">
        <v>7</v>
      </c>
      <c r="K73" s="1">
        <v>8</v>
      </c>
      <c r="L73" s="1">
        <v>9</v>
      </c>
      <c r="M73" s="1">
        <v>10</v>
      </c>
      <c r="N73" s="1">
        <v>11</v>
      </c>
      <c r="O73" s="1">
        <v>12</v>
      </c>
      <c r="P73" s="1">
        <v>13</v>
      </c>
      <c r="Q73" s="1">
        <v>14</v>
      </c>
      <c r="R73" s="1">
        <v>15</v>
      </c>
      <c r="S73" s="1">
        <v>16</v>
      </c>
      <c r="T73" s="1">
        <v>17</v>
      </c>
      <c r="U73" s="1">
        <v>18</v>
      </c>
      <c r="V73" s="1">
        <v>19</v>
      </c>
      <c r="W73" s="1">
        <v>20</v>
      </c>
      <c r="X73" s="1"/>
      <c r="Y73" s="15"/>
    </row>
    <row r="74" spans="1:32" s="10" customFormat="1">
      <c r="A74" s="8" t="s">
        <v>51</v>
      </c>
      <c r="C74" s="34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15"/>
    </row>
    <row r="75" spans="1:32" s="10" customFormat="1">
      <c r="A75" s="8" t="s">
        <v>52</v>
      </c>
      <c r="C75" s="34"/>
      <c r="D75" s="20"/>
      <c r="E75" s="20"/>
      <c r="F75" s="20"/>
      <c r="G75" s="20"/>
      <c r="H75" s="20"/>
      <c r="I75" s="20"/>
      <c r="J75" s="84"/>
      <c r="K75" s="20">
        <f>J23+J24</f>
        <v>0</v>
      </c>
      <c r="L75" s="20">
        <f t="shared" ref="L75:W75" si="30">+K75-K83</f>
        <v>0</v>
      </c>
      <c r="M75" s="20">
        <f t="shared" si="30"/>
        <v>0</v>
      </c>
      <c r="N75" s="20">
        <f t="shared" si="30"/>
        <v>0</v>
      </c>
      <c r="O75" s="20">
        <f t="shared" si="30"/>
        <v>0</v>
      </c>
      <c r="P75" s="20">
        <f t="shared" si="30"/>
        <v>0</v>
      </c>
      <c r="Q75" s="20">
        <f t="shared" si="30"/>
        <v>0</v>
      </c>
      <c r="R75" s="20">
        <f t="shared" si="30"/>
        <v>0</v>
      </c>
      <c r="S75" s="20">
        <f t="shared" si="30"/>
        <v>0</v>
      </c>
      <c r="T75" s="20">
        <f t="shared" si="30"/>
        <v>0</v>
      </c>
      <c r="U75" s="20">
        <f t="shared" si="30"/>
        <v>0</v>
      </c>
      <c r="V75" s="20">
        <f t="shared" si="30"/>
        <v>0</v>
      </c>
      <c r="W75" s="20">
        <f t="shared" si="30"/>
        <v>0</v>
      </c>
      <c r="X75" s="20"/>
      <c r="Y75" s="104">
        <f>+W75-W83</f>
        <v>0</v>
      </c>
    </row>
    <row r="76" spans="1:32" s="10" customFormat="1">
      <c r="A76" s="8" t="s">
        <v>53</v>
      </c>
      <c r="C76" s="34"/>
      <c r="D76" s="20"/>
      <c r="E76" s="20"/>
      <c r="F76" s="20"/>
      <c r="G76" s="20">
        <f>+F23+F24</f>
        <v>0</v>
      </c>
      <c r="H76" s="20">
        <f>+G76-G84</f>
        <v>0</v>
      </c>
      <c r="I76" s="20">
        <f>+H76-H84</f>
        <v>0</v>
      </c>
      <c r="J76" s="20">
        <f>+I76-I84</f>
        <v>0</v>
      </c>
      <c r="K76" s="20">
        <f>+J76-J84</f>
        <v>0</v>
      </c>
      <c r="L76" s="20">
        <f t="shared" ref="L76:W76" si="31">+K76-K84</f>
        <v>0</v>
      </c>
      <c r="M76" s="20">
        <f t="shared" si="31"/>
        <v>0</v>
      </c>
      <c r="N76" s="20">
        <f t="shared" si="31"/>
        <v>0</v>
      </c>
      <c r="O76" s="20">
        <f t="shared" si="31"/>
        <v>0</v>
      </c>
      <c r="P76" s="20">
        <f t="shared" si="31"/>
        <v>0</v>
      </c>
      <c r="Q76" s="20">
        <f t="shared" si="31"/>
        <v>0</v>
      </c>
      <c r="R76" s="20">
        <f t="shared" si="31"/>
        <v>0</v>
      </c>
      <c r="S76" s="20">
        <f t="shared" si="31"/>
        <v>0</v>
      </c>
      <c r="T76" s="20">
        <f t="shared" si="31"/>
        <v>0</v>
      </c>
      <c r="U76" s="20">
        <f t="shared" si="31"/>
        <v>0</v>
      </c>
      <c r="V76" s="20">
        <f t="shared" si="31"/>
        <v>0</v>
      </c>
      <c r="W76" s="20">
        <f t="shared" si="31"/>
        <v>0</v>
      </c>
      <c r="X76" s="20"/>
      <c r="Y76" s="104">
        <f>+W76-W84</f>
        <v>0</v>
      </c>
      <c r="Z76" s="91" t="s">
        <v>38</v>
      </c>
    </row>
    <row r="77" spans="1:32" s="10" customFormat="1">
      <c r="A77" s="8" t="s">
        <v>54</v>
      </c>
      <c r="B77" s="94"/>
      <c r="C77" s="20"/>
      <c r="D77" s="20">
        <f>(C23+C24)</f>
        <v>14800000</v>
      </c>
      <c r="E77" s="20">
        <f>D77-D85</f>
        <v>14060000</v>
      </c>
      <c r="F77" s="20">
        <f t="shared" ref="F77:M77" si="32">E77-E85</f>
        <v>12654000</v>
      </c>
      <c r="G77" s="20">
        <f t="shared" si="32"/>
        <v>11388600</v>
      </c>
      <c r="H77" s="20">
        <f t="shared" si="32"/>
        <v>10249000</v>
      </c>
      <c r="I77" s="20">
        <f t="shared" si="32"/>
        <v>9223360</v>
      </c>
      <c r="J77" s="20">
        <f t="shared" si="32"/>
        <v>8301320</v>
      </c>
      <c r="K77" s="20">
        <f t="shared" si="32"/>
        <v>0</v>
      </c>
      <c r="L77" s="20">
        <f t="shared" si="32"/>
        <v>0</v>
      </c>
      <c r="M77" s="20">
        <f t="shared" si="32"/>
        <v>0</v>
      </c>
      <c r="N77" s="20">
        <f t="shared" ref="N77:W77" si="33">M77-M85</f>
        <v>0</v>
      </c>
      <c r="O77" s="20">
        <f t="shared" si="33"/>
        <v>0</v>
      </c>
      <c r="P77" s="20">
        <f t="shared" si="33"/>
        <v>0</v>
      </c>
      <c r="Q77" s="20">
        <f t="shared" si="33"/>
        <v>0</v>
      </c>
      <c r="R77" s="20">
        <f t="shared" si="33"/>
        <v>0</v>
      </c>
      <c r="S77" s="20">
        <f t="shared" si="33"/>
        <v>0</v>
      </c>
      <c r="T77" s="20">
        <f t="shared" si="33"/>
        <v>0</v>
      </c>
      <c r="U77" s="20">
        <f t="shared" si="33"/>
        <v>0</v>
      </c>
      <c r="V77" s="20">
        <f t="shared" si="33"/>
        <v>0</v>
      </c>
      <c r="W77" s="20">
        <f t="shared" si="33"/>
        <v>0</v>
      </c>
      <c r="X77" s="20"/>
      <c r="Y77" s="104">
        <f>+W77-W85</f>
        <v>0</v>
      </c>
    </row>
    <row r="78" spans="1:32" s="10" customFormat="1">
      <c r="A78" s="8" t="s">
        <v>55</v>
      </c>
      <c r="B78" s="94"/>
      <c r="C78" s="36"/>
      <c r="D78" s="36"/>
      <c r="E78" s="36"/>
      <c r="F78" s="36"/>
      <c r="G78" s="36"/>
      <c r="H78" s="36"/>
      <c r="I78" s="36"/>
      <c r="J78" s="84"/>
      <c r="K78" s="36">
        <v>0.05</v>
      </c>
      <c r="L78" s="36">
        <v>9.5000000000000001E-2</v>
      </c>
      <c r="M78" s="36">
        <v>8.5500000000000007E-2</v>
      </c>
      <c r="N78" s="36">
        <v>7.6999999999999999E-2</v>
      </c>
      <c r="O78" s="36">
        <v>6.93E-2</v>
      </c>
      <c r="P78" s="36">
        <v>6.2300000000000001E-2</v>
      </c>
      <c r="Q78" s="36">
        <v>5.8999999999999997E-2</v>
      </c>
      <c r="R78" s="36">
        <v>5.8999999999999997E-2</v>
      </c>
      <c r="S78" s="36">
        <v>5.91E-2</v>
      </c>
      <c r="T78" s="36">
        <v>5.8999999999999997E-2</v>
      </c>
      <c r="U78" s="36">
        <v>5.91E-2</v>
      </c>
      <c r="V78" s="36">
        <v>5.8999999999999997E-2</v>
      </c>
      <c r="W78" s="36">
        <f>1-0.7933</f>
        <v>0.20669999999999999</v>
      </c>
      <c r="X78" s="36"/>
      <c r="Y78" s="36"/>
      <c r="Z78" s="37"/>
      <c r="AA78" s="37"/>
      <c r="AB78" s="37"/>
      <c r="AC78" s="37"/>
      <c r="AD78" s="37"/>
      <c r="AE78" s="37"/>
      <c r="AF78" s="95"/>
    </row>
    <row r="79" spans="1:32" s="10" customFormat="1">
      <c r="A79" s="8" t="s">
        <v>56</v>
      </c>
      <c r="B79" s="94"/>
      <c r="C79" s="36"/>
      <c r="D79" s="36"/>
      <c r="E79" s="36"/>
      <c r="F79" s="84"/>
      <c r="G79" s="36">
        <v>0.05</v>
      </c>
      <c r="H79" s="36">
        <v>9.5000000000000001E-2</v>
      </c>
      <c r="I79" s="36">
        <v>8.5500000000000007E-2</v>
      </c>
      <c r="J79" s="36">
        <v>7.6999999999999999E-2</v>
      </c>
      <c r="K79" s="36">
        <v>6.93E-2</v>
      </c>
      <c r="L79" s="36">
        <v>6.2300000000000001E-2</v>
      </c>
      <c r="M79" s="36">
        <v>5.8999999999999997E-2</v>
      </c>
      <c r="N79" s="36">
        <v>5.8999999999999997E-2</v>
      </c>
      <c r="O79" s="36">
        <v>5.91E-2</v>
      </c>
      <c r="P79" s="36">
        <v>5.8999999999999997E-2</v>
      </c>
      <c r="Q79" s="36">
        <v>5.91E-2</v>
      </c>
      <c r="R79" s="36">
        <v>5.8999999999999997E-2</v>
      </c>
      <c r="S79" s="36">
        <v>5.91E-2</v>
      </c>
      <c r="T79" s="36">
        <v>5.8999999999999997E-2</v>
      </c>
      <c r="U79" s="36">
        <v>5.91E-2</v>
      </c>
      <c r="V79" s="36">
        <v>2.9499999999999998E-2</v>
      </c>
      <c r="W79" s="36">
        <v>0</v>
      </c>
      <c r="X79" s="36"/>
      <c r="Y79" s="36"/>
      <c r="Z79" s="37"/>
      <c r="AA79" s="37"/>
      <c r="AB79" s="95"/>
    </row>
    <row r="80" spans="1:32" s="10" customFormat="1">
      <c r="A80" s="8" t="s">
        <v>57</v>
      </c>
      <c r="B80" s="94"/>
      <c r="C80" s="84"/>
      <c r="D80" s="36">
        <v>0.05</v>
      </c>
      <c r="E80" s="36">
        <v>9.5000000000000001E-2</v>
      </c>
      <c r="F80" s="36">
        <v>8.5500000000000007E-2</v>
      </c>
      <c r="G80" s="36">
        <v>7.6999999999999999E-2</v>
      </c>
      <c r="H80" s="36">
        <v>6.93E-2</v>
      </c>
      <c r="I80" s="36">
        <v>6.2300000000000001E-2</v>
      </c>
      <c r="J80" s="36">
        <v>5.8999999999999997E-2</v>
      </c>
      <c r="K80" s="36">
        <v>5.8999999999999997E-2</v>
      </c>
      <c r="L80" s="36">
        <v>5.91E-2</v>
      </c>
      <c r="M80" s="36">
        <v>5.8999999999999997E-2</v>
      </c>
      <c r="N80" s="36">
        <v>5.91E-2</v>
      </c>
      <c r="O80" s="36">
        <v>5.8999999999999997E-2</v>
      </c>
      <c r="P80" s="36">
        <v>5.91E-2</v>
      </c>
      <c r="Q80" s="36">
        <v>5.8999999999999997E-2</v>
      </c>
      <c r="R80" s="36">
        <v>5.91E-2</v>
      </c>
      <c r="S80" s="36">
        <v>2.9499999999999998E-2</v>
      </c>
      <c r="T80" s="36">
        <v>0</v>
      </c>
      <c r="U80" s="36">
        <v>0</v>
      </c>
      <c r="V80" s="36">
        <v>0</v>
      </c>
      <c r="W80" s="36">
        <v>0</v>
      </c>
      <c r="X80" s="36"/>
      <c r="Y80" s="85"/>
    </row>
    <row r="81" spans="1:28" s="10" customFormat="1">
      <c r="A81" s="8"/>
      <c r="B81" s="94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85"/>
    </row>
    <row r="82" spans="1:28" s="10" customFormat="1">
      <c r="A82" s="8" t="s">
        <v>58</v>
      </c>
      <c r="B82" s="35"/>
      <c r="C82" s="20"/>
      <c r="D82" s="20"/>
      <c r="E82" s="20"/>
      <c r="F82" s="20"/>
      <c r="G82" s="20"/>
      <c r="H82" s="20"/>
      <c r="I82" s="20"/>
      <c r="J82" s="20"/>
      <c r="K82" s="20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05">
        <f>SUM(C82:W82)</f>
        <v>0</v>
      </c>
    </row>
    <row r="83" spans="1:28" s="10" customFormat="1">
      <c r="A83" s="38" t="s">
        <v>59</v>
      </c>
      <c r="B83" s="35"/>
      <c r="C83" s="20"/>
      <c r="D83" s="20"/>
      <c r="E83" s="20"/>
      <c r="F83" s="20"/>
      <c r="G83" s="20"/>
      <c r="H83" s="20"/>
      <c r="I83" s="20"/>
      <c r="J83" s="20"/>
      <c r="K83" s="20">
        <f t="shared" ref="K83:R83" si="34">($J$23+$J$24)*K78</f>
        <v>0</v>
      </c>
      <c r="L83" s="20">
        <f t="shared" si="34"/>
        <v>0</v>
      </c>
      <c r="M83" s="20">
        <f t="shared" si="34"/>
        <v>0</v>
      </c>
      <c r="N83" s="20">
        <f t="shared" si="34"/>
        <v>0</v>
      </c>
      <c r="O83" s="20">
        <f t="shared" si="34"/>
        <v>0</v>
      </c>
      <c r="P83" s="20">
        <f t="shared" si="34"/>
        <v>0</v>
      </c>
      <c r="Q83" s="20">
        <f t="shared" si="34"/>
        <v>0</v>
      </c>
      <c r="R83" s="20">
        <f t="shared" si="34"/>
        <v>0</v>
      </c>
      <c r="S83" s="20">
        <f>+S75</f>
        <v>0</v>
      </c>
      <c r="T83" s="20">
        <f>($J$23+$J$24)*T78</f>
        <v>0</v>
      </c>
      <c r="U83" s="20">
        <f>+U75</f>
        <v>0</v>
      </c>
      <c r="V83" s="20">
        <f>($J$23+$J$24)*V78</f>
        <v>0</v>
      </c>
      <c r="W83" s="20">
        <f>+W75</f>
        <v>0</v>
      </c>
      <c r="X83" s="20"/>
      <c r="Y83" s="105">
        <f>SUM(C83:W83)</f>
        <v>0</v>
      </c>
    </row>
    <row r="84" spans="1:28" s="10" customFormat="1">
      <c r="A84" s="38" t="s">
        <v>60</v>
      </c>
      <c r="B84" s="35"/>
      <c r="C84" s="20"/>
      <c r="D84" s="20"/>
      <c r="E84" s="20"/>
      <c r="F84" s="84"/>
      <c r="G84" s="20">
        <f t="shared" ref="G84:L84" si="35">($F$23+$F$24)*G79</f>
        <v>0</v>
      </c>
      <c r="H84" s="20">
        <f t="shared" si="35"/>
        <v>0</v>
      </c>
      <c r="I84" s="20">
        <f t="shared" si="35"/>
        <v>0</v>
      </c>
      <c r="J84" s="20">
        <f t="shared" si="35"/>
        <v>0</v>
      </c>
      <c r="K84" s="20">
        <f t="shared" si="35"/>
        <v>0</v>
      </c>
      <c r="L84" s="20">
        <f t="shared" si="35"/>
        <v>0</v>
      </c>
      <c r="M84" s="20">
        <f t="shared" ref="M84:R84" si="36">+M76</f>
        <v>0</v>
      </c>
      <c r="N84" s="20">
        <f t="shared" si="36"/>
        <v>0</v>
      </c>
      <c r="O84" s="20">
        <f t="shared" si="36"/>
        <v>0</v>
      </c>
      <c r="P84" s="20">
        <f t="shared" si="36"/>
        <v>0</v>
      </c>
      <c r="Q84" s="20">
        <f t="shared" si="36"/>
        <v>0</v>
      </c>
      <c r="R84" s="20">
        <f t="shared" si="36"/>
        <v>0</v>
      </c>
      <c r="S84" s="20">
        <f>+S76</f>
        <v>0</v>
      </c>
      <c r="T84" s="20">
        <f>+T76</f>
        <v>0</v>
      </c>
      <c r="U84" s="20">
        <f>+U76</f>
        <v>0</v>
      </c>
      <c r="V84" s="20">
        <f>+V76</f>
        <v>0</v>
      </c>
      <c r="W84" s="20">
        <f>+W76</f>
        <v>0</v>
      </c>
      <c r="X84" s="20"/>
      <c r="Y84" s="105">
        <f>SUM(C84:W84)</f>
        <v>0</v>
      </c>
    </row>
    <row r="85" spans="1:28" s="10" customFormat="1">
      <c r="A85" s="38" t="s">
        <v>61</v>
      </c>
      <c r="B85" s="93"/>
      <c r="C85" s="84">
        <v>0</v>
      </c>
      <c r="D85" s="20">
        <f>IF('Input Sheet'!$G$49-Model!D1&lt;=0,D77,D80*$D$77)</f>
        <v>740000</v>
      </c>
      <c r="E85" s="20">
        <f>IF('Input Sheet'!$G$49-Model!E1&lt;=0,E77,E80*$D$77)</f>
        <v>1406000</v>
      </c>
      <c r="F85" s="20">
        <f>IF('Input Sheet'!$G$49-Model!F1&lt;=0,F77,F80*$D$77)</f>
        <v>1265400</v>
      </c>
      <c r="G85" s="20">
        <f>IF('Input Sheet'!$G$49-Model!G1&lt;=0,G77,G80*$D$77)</f>
        <v>1139600</v>
      </c>
      <c r="H85" s="20">
        <f>IF('Input Sheet'!$G$49-Model!H1&lt;=0,H77,H80*$D$77)</f>
        <v>1025640</v>
      </c>
      <c r="I85" s="20">
        <f>IF('Input Sheet'!$G$49-Model!I1&lt;=0,I77,I80*$D$77)</f>
        <v>922040</v>
      </c>
      <c r="J85" s="20">
        <f>IF('Input Sheet'!$G$49-Model!J1&lt;=0,J77,J80*$D$77)</f>
        <v>8301320</v>
      </c>
      <c r="K85" s="20">
        <f>IF('Input Sheet'!$G$49-Model!K1&lt;=0,K77,K80*$D$77)</f>
        <v>0</v>
      </c>
      <c r="L85" s="20">
        <f>IF('Input Sheet'!$G$49-Model!L1&lt;=0,L77,L80*$D$77)</f>
        <v>0</v>
      </c>
      <c r="M85" s="20">
        <f>IF('Input Sheet'!$G$49-Model!M1&lt;=0,M77,M80*$D$77)</f>
        <v>0</v>
      </c>
      <c r="N85" s="20">
        <f>IF('Input Sheet'!$G$49-Model!N1&lt;=0,N77,N80*$D$77)</f>
        <v>0</v>
      </c>
      <c r="O85" s="20">
        <f>IF('Input Sheet'!$G$49-Model!O1&lt;=0,O77,O80*$D$77)</f>
        <v>0</v>
      </c>
      <c r="P85" s="20">
        <f>IF('Input Sheet'!$G$49-Model!P1&lt;=0,P77,P80*$D$77)</f>
        <v>0</v>
      </c>
      <c r="Q85" s="20">
        <f>IF('Input Sheet'!$G$49-Model!Q1&lt;=0,Q77,Q80*$D$77)</f>
        <v>0</v>
      </c>
      <c r="R85" s="20">
        <f>IF('Input Sheet'!$G$49-Model!R1&lt;=0,R77,R80*$D$77)</f>
        <v>0</v>
      </c>
      <c r="S85" s="20">
        <f>IF('Input Sheet'!$G$49-Model!S1&lt;=0,S77,S80*$D$77)</f>
        <v>0</v>
      </c>
      <c r="T85" s="20">
        <f>IF('Input Sheet'!$G$49-Model!T1&lt;=0,T77,T80*$D$77)</f>
        <v>0</v>
      </c>
      <c r="U85" s="20">
        <f>IF('Input Sheet'!$G$49-Model!U1&lt;=0,U77,U80*$D$77)</f>
        <v>0</v>
      </c>
      <c r="V85" s="20">
        <f>IF('Input Sheet'!$G$49-Model!V1&lt;=0,V77,V80*$D$77)</f>
        <v>0</v>
      </c>
      <c r="W85" s="20">
        <f>IF('Input Sheet'!$G$49-Model!W1&lt;=0,W77,W80*$D$77)</f>
        <v>0</v>
      </c>
      <c r="X85" s="20"/>
      <c r="Y85" s="105">
        <f>SUM(C85:W85)</f>
        <v>14800000</v>
      </c>
      <c r="Z85" s="95"/>
    </row>
    <row r="86" spans="1:28" s="40" customFormat="1">
      <c r="A86" s="39" t="s">
        <v>62</v>
      </c>
      <c r="B86" s="41"/>
      <c r="C86" s="42">
        <v>0</v>
      </c>
      <c r="D86" s="42">
        <f t="shared" ref="D86:W86" si="37">IF(E1=$F$6,MAX(D85,D82),D85)</f>
        <v>740000</v>
      </c>
      <c r="E86" s="42">
        <f t="shared" si="37"/>
        <v>1406000</v>
      </c>
      <c r="F86" s="42">
        <f t="shared" si="37"/>
        <v>1265400</v>
      </c>
      <c r="G86" s="42">
        <f t="shared" si="37"/>
        <v>1139600</v>
      </c>
      <c r="H86" s="42">
        <f t="shared" si="37"/>
        <v>1025640</v>
      </c>
      <c r="I86" s="42">
        <f t="shared" si="37"/>
        <v>922040</v>
      </c>
      <c r="J86" s="42">
        <f t="shared" si="37"/>
        <v>8301320</v>
      </c>
      <c r="K86" s="42">
        <f t="shared" si="37"/>
        <v>0</v>
      </c>
      <c r="L86" s="42">
        <f t="shared" si="37"/>
        <v>0</v>
      </c>
      <c r="M86" s="42">
        <f t="shared" si="37"/>
        <v>0</v>
      </c>
      <c r="N86" s="42">
        <f t="shared" si="37"/>
        <v>0</v>
      </c>
      <c r="O86" s="42">
        <f t="shared" si="37"/>
        <v>0</v>
      </c>
      <c r="P86" s="42">
        <f t="shared" si="37"/>
        <v>0</v>
      </c>
      <c r="Q86" s="42">
        <f t="shared" si="37"/>
        <v>0</v>
      </c>
      <c r="R86" s="42">
        <f t="shared" si="37"/>
        <v>0</v>
      </c>
      <c r="S86" s="42">
        <f t="shared" si="37"/>
        <v>0</v>
      </c>
      <c r="T86" s="42">
        <f t="shared" si="37"/>
        <v>0</v>
      </c>
      <c r="U86" s="42">
        <f t="shared" si="37"/>
        <v>0</v>
      </c>
      <c r="V86" s="42">
        <f t="shared" si="37"/>
        <v>0</v>
      </c>
      <c r="W86" s="42">
        <f t="shared" si="37"/>
        <v>0</v>
      </c>
      <c r="X86" s="42"/>
      <c r="Y86" s="42">
        <f>SUM(Y83:Y85)</f>
        <v>14800000</v>
      </c>
      <c r="Z86" s="43">
        <f>+Y86-Y23-Y24</f>
        <v>0</v>
      </c>
      <c r="AA86" s="91" t="s">
        <v>38</v>
      </c>
      <c r="AB86" s="91"/>
    </row>
    <row r="87" spans="1:28"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</row>
    <row r="88" spans="1:28">
      <c r="A88" s="1" t="s">
        <v>63</v>
      </c>
      <c r="C88" s="84"/>
      <c r="D88" s="84"/>
      <c r="E88" s="84"/>
      <c r="F88" s="84"/>
      <c r="G88" s="84"/>
      <c r="H88" s="84"/>
      <c r="I88" s="84"/>
      <c r="J88" s="84"/>
      <c r="K88" s="96">
        <f>+J23</f>
        <v>0</v>
      </c>
      <c r="L88" s="82">
        <f t="shared" ref="L88:N89" si="38">+K88-K105</f>
        <v>0</v>
      </c>
      <c r="M88" s="82">
        <f t="shared" si="38"/>
        <v>0</v>
      </c>
      <c r="N88" s="82">
        <f t="shared" si="38"/>
        <v>0</v>
      </c>
      <c r="O88" s="82">
        <f t="shared" ref="O88:W88" si="39">+N88-N105</f>
        <v>0</v>
      </c>
      <c r="P88" s="82">
        <f t="shared" si="39"/>
        <v>0</v>
      </c>
      <c r="Q88" s="82">
        <f t="shared" si="39"/>
        <v>0</v>
      </c>
      <c r="R88" s="82">
        <f t="shared" si="39"/>
        <v>0</v>
      </c>
      <c r="S88" s="82">
        <f t="shared" si="39"/>
        <v>0</v>
      </c>
      <c r="T88" s="82">
        <f t="shared" si="39"/>
        <v>0</v>
      </c>
      <c r="U88" s="82">
        <f t="shared" si="39"/>
        <v>0</v>
      </c>
      <c r="V88" s="82">
        <f t="shared" si="39"/>
        <v>0</v>
      </c>
      <c r="W88" s="82">
        <f t="shared" si="39"/>
        <v>0</v>
      </c>
      <c r="X88" s="82"/>
      <c r="Y88" s="105">
        <f>SUM(C88:W88)</f>
        <v>0</v>
      </c>
    </row>
    <row r="89" spans="1:28">
      <c r="A89" s="1" t="s">
        <v>64</v>
      </c>
      <c r="C89" s="84"/>
      <c r="D89" s="84"/>
      <c r="E89" s="84"/>
      <c r="F89" s="84"/>
      <c r="G89" s="82">
        <f>+F23</f>
        <v>0</v>
      </c>
      <c r="H89" s="82">
        <f>+G89-G106</f>
        <v>0</v>
      </c>
      <c r="I89" s="82">
        <f>+H89-H106</f>
        <v>0</v>
      </c>
      <c r="J89" s="82">
        <f>+I89-I106</f>
        <v>0</v>
      </c>
      <c r="K89" s="82">
        <f>+J89-J106</f>
        <v>0</v>
      </c>
      <c r="L89" s="82">
        <f t="shared" si="38"/>
        <v>0</v>
      </c>
      <c r="M89" s="82">
        <f t="shared" si="38"/>
        <v>0</v>
      </c>
      <c r="N89" s="82">
        <f t="shared" si="38"/>
        <v>0</v>
      </c>
      <c r="O89" s="82">
        <f t="shared" ref="O89:W89" si="40">+N89-N106</f>
        <v>0</v>
      </c>
      <c r="P89" s="82">
        <f t="shared" si="40"/>
        <v>0</v>
      </c>
      <c r="Q89" s="82">
        <f t="shared" si="40"/>
        <v>0</v>
      </c>
      <c r="R89" s="82">
        <f t="shared" si="40"/>
        <v>0</v>
      </c>
      <c r="S89" s="82">
        <f t="shared" si="40"/>
        <v>0</v>
      </c>
      <c r="T89" s="82">
        <f t="shared" si="40"/>
        <v>0</v>
      </c>
      <c r="U89" s="82">
        <f t="shared" si="40"/>
        <v>0</v>
      </c>
      <c r="V89" s="82">
        <f t="shared" si="40"/>
        <v>0</v>
      </c>
      <c r="W89" s="82">
        <f t="shared" si="40"/>
        <v>0</v>
      </c>
      <c r="X89" s="82"/>
      <c r="Y89" s="105">
        <f>SUM(C89:W89)</f>
        <v>0</v>
      </c>
      <c r="Z89" s="91" t="s">
        <v>38</v>
      </c>
    </row>
    <row r="90" spans="1:28">
      <c r="A90" s="1" t="s">
        <v>65</v>
      </c>
      <c r="B90" s="97">
        <f>+B23</f>
        <v>0.9</v>
      </c>
      <c r="C90" s="84"/>
      <c r="D90" s="96">
        <f>+C28*B90</f>
        <v>13320000</v>
      </c>
      <c r="E90" s="82">
        <f t="shared" ref="E90:J90" si="41">+D90-D107</f>
        <v>12992870.863869524</v>
      </c>
      <c r="F90" s="82">
        <f t="shared" si="41"/>
        <v>12641795.874974297</v>
      </c>
      <c r="G90" s="82">
        <f t="shared" si="41"/>
        <v>12265022.196891939</v>
      </c>
      <c r="H90" s="82">
        <f t="shared" si="41"/>
        <v>11860668.685573954</v>
      </c>
      <c r="I90" s="82">
        <f t="shared" si="41"/>
        <v>11426716.497227492</v>
      </c>
      <c r="J90" s="82">
        <f t="shared" si="41"/>
        <v>10960999.008694068</v>
      </c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105">
        <f>SUM(C90:W90)</f>
        <v>85468073.12723127</v>
      </c>
    </row>
    <row r="91" spans="1:28" s="78" customFormat="1">
      <c r="A91" s="78" t="s">
        <v>66</v>
      </c>
      <c r="B91" s="80"/>
      <c r="C91" s="82"/>
      <c r="D91" s="98">
        <f>SUM(D88:D90)</f>
        <v>13320000</v>
      </c>
      <c r="E91" s="98">
        <f t="shared" ref="E91:N91" si="42">SUM(E88:E90)</f>
        <v>12992870.863869524</v>
      </c>
      <c r="F91" s="98">
        <f t="shared" si="42"/>
        <v>12641795.874974297</v>
      </c>
      <c r="G91" s="98">
        <f t="shared" si="42"/>
        <v>12265022.196891939</v>
      </c>
      <c r="H91" s="98">
        <f t="shared" si="42"/>
        <v>11860668.685573954</v>
      </c>
      <c r="I91" s="98">
        <f t="shared" si="42"/>
        <v>11426716.497227492</v>
      </c>
      <c r="J91" s="98">
        <f t="shared" si="42"/>
        <v>10960999.008694068</v>
      </c>
      <c r="K91" s="98">
        <f t="shared" si="42"/>
        <v>0</v>
      </c>
      <c r="L91" s="98">
        <f t="shared" si="42"/>
        <v>0</v>
      </c>
      <c r="M91" s="98">
        <f t="shared" si="42"/>
        <v>0</v>
      </c>
      <c r="N91" s="98">
        <f t="shared" si="42"/>
        <v>0</v>
      </c>
      <c r="O91" s="98">
        <f t="shared" ref="O91:Y91" si="43">SUM(O88:O90)</f>
        <v>0</v>
      </c>
      <c r="P91" s="98">
        <f t="shared" si="43"/>
        <v>0</v>
      </c>
      <c r="Q91" s="98">
        <f t="shared" si="43"/>
        <v>0</v>
      </c>
      <c r="R91" s="98">
        <f t="shared" si="43"/>
        <v>0</v>
      </c>
      <c r="S91" s="98">
        <f t="shared" si="43"/>
        <v>0</v>
      </c>
      <c r="T91" s="98">
        <f t="shared" si="43"/>
        <v>0</v>
      </c>
      <c r="U91" s="98">
        <f t="shared" si="43"/>
        <v>0</v>
      </c>
      <c r="V91" s="98">
        <f t="shared" si="43"/>
        <v>0</v>
      </c>
      <c r="W91" s="98">
        <f t="shared" si="43"/>
        <v>0</v>
      </c>
      <c r="X91" s="98"/>
      <c r="Y91" s="42">
        <f t="shared" si="43"/>
        <v>85468073.12723127</v>
      </c>
    </row>
    <row r="92" spans="1:28">
      <c r="B92" s="99"/>
      <c r="C92" s="84"/>
      <c r="D92" s="96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</row>
    <row r="93" spans="1:28">
      <c r="A93" s="1" t="s">
        <v>67</v>
      </c>
      <c r="B93" s="3"/>
      <c r="C93" s="84"/>
      <c r="D93" s="82"/>
      <c r="E93" s="82"/>
      <c r="F93" s="82"/>
      <c r="G93" s="82"/>
      <c r="H93" s="82"/>
      <c r="I93" s="82"/>
      <c r="J93" s="84"/>
      <c r="K93" s="82">
        <f>PMT(B99,3,K88)*-1</f>
        <v>0</v>
      </c>
      <c r="L93" s="82">
        <f>+K93</f>
        <v>0</v>
      </c>
      <c r="M93" s="82">
        <f>+L93</f>
        <v>0</v>
      </c>
      <c r="N93" s="82">
        <f t="shared" ref="N93:W93" si="44">+M93</f>
        <v>0</v>
      </c>
      <c r="O93" s="82">
        <f t="shared" si="44"/>
        <v>0</v>
      </c>
      <c r="P93" s="82">
        <f t="shared" si="44"/>
        <v>0</v>
      </c>
      <c r="Q93" s="82">
        <f t="shared" si="44"/>
        <v>0</v>
      </c>
      <c r="R93" s="82">
        <f t="shared" si="44"/>
        <v>0</v>
      </c>
      <c r="S93" s="82">
        <f t="shared" si="44"/>
        <v>0</v>
      </c>
      <c r="T93" s="82">
        <f t="shared" si="44"/>
        <v>0</v>
      </c>
      <c r="U93" s="82">
        <f t="shared" si="44"/>
        <v>0</v>
      </c>
      <c r="V93" s="82">
        <f t="shared" si="44"/>
        <v>0</v>
      </c>
      <c r="W93" s="82">
        <f t="shared" si="44"/>
        <v>0</v>
      </c>
      <c r="X93" s="82"/>
      <c r="Y93" s="105">
        <f>SUM(C93:W93)</f>
        <v>0</v>
      </c>
    </row>
    <row r="94" spans="1:28">
      <c r="A94" s="1" t="s">
        <v>68</v>
      </c>
      <c r="B94" s="3"/>
      <c r="C94" s="84"/>
      <c r="D94" s="82"/>
      <c r="E94" s="82"/>
      <c r="F94" s="84"/>
      <c r="G94" s="100">
        <f>PMT($B$99,7,$G$89)*-1</f>
        <v>0</v>
      </c>
      <c r="H94" s="100">
        <f>+G94</f>
        <v>0</v>
      </c>
      <c r="I94" s="100">
        <f>+H94</f>
        <v>0</v>
      </c>
      <c r="J94" s="100">
        <f>+I94</f>
        <v>0</v>
      </c>
      <c r="K94" s="100">
        <f>+J94</f>
        <v>0</v>
      </c>
      <c r="L94" s="100">
        <f>+K94</f>
        <v>0</v>
      </c>
      <c r="M94" s="100">
        <f>+L94</f>
        <v>0</v>
      </c>
      <c r="N94" s="100">
        <f t="shared" ref="N94:W94" si="45">+M94</f>
        <v>0</v>
      </c>
      <c r="O94" s="100">
        <f t="shared" si="45"/>
        <v>0</v>
      </c>
      <c r="P94" s="100">
        <f t="shared" si="45"/>
        <v>0</v>
      </c>
      <c r="Q94" s="100">
        <f t="shared" si="45"/>
        <v>0</v>
      </c>
      <c r="R94" s="100">
        <f t="shared" si="45"/>
        <v>0</v>
      </c>
      <c r="S94" s="100">
        <f t="shared" si="45"/>
        <v>0</v>
      </c>
      <c r="T94" s="100">
        <f t="shared" si="45"/>
        <v>0</v>
      </c>
      <c r="U94" s="100">
        <f t="shared" si="45"/>
        <v>0</v>
      </c>
      <c r="V94" s="100">
        <f t="shared" si="45"/>
        <v>0</v>
      </c>
      <c r="W94" s="100">
        <f t="shared" si="45"/>
        <v>0</v>
      </c>
      <c r="X94" s="100"/>
      <c r="Y94" s="105">
        <f>SUM(C94:W94)</f>
        <v>0</v>
      </c>
    </row>
    <row r="95" spans="1:28">
      <c r="A95" s="1" t="s">
        <v>69</v>
      </c>
      <c r="B95" s="3"/>
      <c r="C95" s="84"/>
      <c r="D95" s="225">
        <f>-PMT(B99,7,D90-'Input Sheet'!D5)+'Input Sheet'!D5*B99</f>
        <v>1302153.1361304759</v>
      </c>
      <c r="E95" s="225">
        <f>+D95</f>
        <v>1302153.1361304759</v>
      </c>
      <c r="F95" s="225">
        <f>+E95</f>
        <v>1302153.1361304759</v>
      </c>
      <c r="G95" s="225">
        <f>+F95</f>
        <v>1302153.1361304759</v>
      </c>
      <c r="H95" s="225">
        <f>+G95</f>
        <v>1302153.1361304759</v>
      </c>
      <c r="I95" s="225">
        <f>+H95</f>
        <v>1302153.1361304759</v>
      </c>
      <c r="J95" s="225">
        <f>+I95+'Input Sheet'!D5</f>
        <v>11763344.136130476</v>
      </c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105">
        <f>SUM(C95:W95)</f>
        <v>19576262.952913333</v>
      </c>
    </row>
    <row r="96" spans="1:28">
      <c r="A96" s="1" t="s">
        <v>70</v>
      </c>
      <c r="B96" s="3"/>
      <c r="C96" s="84"/>
      <c r="D96" s="226">
        <f>SUM(D93:D95)</f>
        <v>1302153.1361304759</v>
      </c>
      <c r="E96" s="98">
        <f t="shared" ref="E96:N96" si="46">SUM(E93:E95)</f>
        <v>1302153.1361304759</v>
      </c>
      <c r="F96" s="98">
        <f t="shared" si="46"/>
        <v>1302153.1361304759</v>
      </c>
      <c r="G96" s="98">
        <f t="shared" si="46"/>
        <v>1302153.1361304759</v>
      </c>
      <c r="H96" s="98">
        <f t="shared" si="46"/>
        <v>1302153.1361304759</v>
      </c>
      <c r="I96" s="98">
        <f t="shared" si="46"/>
        <v>1302153.1361304759</v>
      </c>
      <c r="J96" s="98">
        <f t="shared" si="46"/>
        <v>11763344.136130476</v>
      </c>
      <c r="K96" s="98">
        <f>SUM(K93:K95)</f>
        <v>0</v>
      </c>
      <c r="L96" s="98">
        <f t="shared" si="46"/>
        <v>0</v>
      </c>
      <c r="M96" s="98">
        <f t="shared" si="46"/>
        <v>0</v>
      </c>
      <c r="N96" s="98">
        <f t="shared" si="46"/>
        <v>0</v>
      </c>
      <c r="O96" s="98">
        <f t="shared" ref="O96:Y96" si="47">SUM(O93:O95)</f>
        <v>0</v>
      </c>
      <c r="P96" s="98">
        <f t="shared" si="47"/>
        <v>0</v>
      </c>
      <c r="Q96" s="98">
        <f t="shared" si="47"/>
        <v>0</v>
      </c>
      <c r="R96" s="98">
        <f t="shared" si="47"/>
        <v>0</v>
      </c>
      <c r="S96" s="98">
        <f t="shared" si="47"/>
        <v>0</v>
      </c>
      <c r="T96" s="98">
        <f t="shared" si="47"/>
        <v>0</v>
      </c>
      <c r="U96" s="98">
        <f t="shared" si="47"/>
        <v>0</v>
      </c>
      <c r="V96" s="98">
        <f t="shared" si="47"/>
        <v>0</v>
      </c>
      <c r="W96" s="98">
        <f t="shared" si="47"/>
        <v>0</v>
      </c>
      <c r="X96" s="98"/>
      <c r="Y96" s="42">
        <f t="shared" si="47"/>
        <v>19576262.952913333</v>
      </c>
    </row>
    <row r="97" spans="1:28">
      <c r="B97" s="3"/>
      <c r="C97" s="84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</row>
    <row r="98" spans="1:28" s="78" customFormat="1">
      <c r="B98" s="80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</row>
    <row r="99" spans="1:28">
      <c r="A99" s="1" t="s">
        <v>71</v>
      </c>
      <c r="B99" s="227">
        <f>+'Input Sheet'!C17</f>
        <v>7.3200000000000001E-2</v>
      </c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</row>
    <row r="100" spans="1:28" s="78" customFormat="1">
      <c r="A100" s="78" t="s">
        <v>72</v>
      </c>
      <c r="B100" s="80"/>
      <c r="C100" s="82"/>
      <c r="D100" s="82"/>
      <c r="E100" s="82"/>
      <c r="F100" s="82"/>
      <c r="G100" s="82"/>
      <c r="H100" s="82"/>
      <c r="I100" s="82"/>
      <c r="J100" s="82"/>
      <c r="K100" s="82">
        <f t="shared" ref="K100:W100" si="48">+K88*$B$99</f>
        <v>0</v>
      </c>
      <c r="L100" s="82">
        <f t="shared" si="48"/>
        <v>0</v>
      </c>
      <c r="M100" s="82">
        <f t="shared" si="48"/>
        <v>0</v>
      </c>
      <c r="N100" s="82">
        <f t="shared" si="48"/>
        <v>0</v>
      </c>
      <c r="O100" s="82">
        <f t="shared" si="48"/>
        <v>0</v>
      </c>
      <c r="P100" s="82">
        <f t="shared" si="48"/>
        <v>0</v>
      </c>
      <c r="Q100" s="82">
        <f t="shared" si="48"/>
        <v>0</v>
      </c>
      <c r="R100" s="82">
        <f t="shared" si="48"/>
        <v>0</v>
      </c>
      <c r="S100" s="82">
        <f t="shared" si="48"/>
        <v>0</v>
      </c>
      <c r="T100" s="82">
        <f t="shared" si="48"/>
        <v>0</v>
      </c>
      <c r="U100" s="82">
        <f t="shared" si="48"/>
        <v>0</v>
      </c>
      <c r="V100" s="82">
        <f t="shared" si="48"/>
        <v>0</v>
      </c>
      <c r="W100" s="82">
        <f t="shared" si="48"/>
        <v>0</v>
      </c>
      <c r="X100" s="82"/>
      <c r="Y100" s="20">
        <f>SUM(C100:S100)</f>
        <v>0</v>
      </c>
    </row>
    <row r="101" spans="1:28" s="78" customFormat="1">
      <c r="A101" s="78" t="s">
        <v>73</v>
      </c>
      <c r="B101" s="80"/>
      <c r="C101" s="82"/>
      <c r="D101" s="82"/>
      <c r="E101" s="82"/>
      <c r="F101" s="82"/>
      <c r="G101" s="82">
        <f>+G89*$B$99</f>
        <v>0</v>
      </c>
      <c r="H101" s="82">
        <f t="shared" ref="H101:M101" si="49">+H89*$B$99</f>
        <v>0</v>
      </c>
      <c r="I101" s="82">
        <f t="shared" si="49"/>
        <v>0</v>
      </c>
      <c r="J101" s="82">
        <f t="shared" si="49"/>
        <v>0</v>
      </c>
      <c r="K101" s="82">
        <f t="shared" si="49"/>
        <v>0</v>
      </c>
      <c r="L101" s="82">
        <f t="shared" si="49"/>
        <v>0</v>
      </c>
      <c r="M101" s="82">
        <f t="shared" si="49"/>
        <v>0</v>
      </c>
      <c r="N101" s="82">
        <f t="shared" ref="N101:W101" si="50">+N89*$B$99</f>
        <v>0</v>
      </c>
      <c r="O101" s="82">
        <f t="shared" si="50"/>
        <v>0</v>
      </c>
      <c r="P101" s="82">
        <f t="shared" si="50"/>
        <v>0</v>
      </c>
      <c r="Q101" s="82">
        <f t="shared" si="50"/>
        <v>0</v>
      </c>
      <c r="R101" s="82">
        <f t="shared" si="50"/>
        <v>0</v>
      </c>
      <c r="S101" s="82">
        <f t="shared" si="50"/>
        <v>0</v>
      </c>
      <c r="T101" s="82">
        <f t="shared" si="50"/>
        <v>0</v>
      </c>
      <c r="U101" s="82">
        <f t="shared" si="50"/>
        <v>0</v>
      </c>
      <c r="V101" s="82">
        <f t="shared" si="50"/>
        <v>0</v>
      </c>
      <c r="W101" s="82">
        <f t="shared" si="50"/>
        <v>0</v>
      </c>
      <c r="X101" s="82"/>
      <c r="Y101" s="20">
        <f>SUM(C101:S101)</f>
        <v>0</v>
      </c>
    </row>
    <row r="102" spans="1:28" s="78" customFormat="1">
      <c r="A102" s="78" t="s">
        <v>74</v>
      </c>
      <c r="C102" s="82"/>
      <c r="D102" s="82">
        <f>+D90*$B$99</f>
        <v>975024</v>
      </c>
      <c r="E102" s="82">
        <f>+E90*$B$99</f>
        <v>951078.14723524917</v>
      </c>
      <c r="F102" s="82">
        <f>+F90*$B$99</f>
        <v>925379.45804811863</v>
      </c>
      <c r="G102" s="82">
        <f>+G90*$B$99</f>
        <v>897799.62481248996</v>
      </c>
      <c r="H102" s="82">
        <f>+H90*$B$99</f>
        <v>868200.94778401346</v>
      </c>
      <c r="I102" s="82">
        <f>+I90*$B$99</f>
        <v>836435.64759705239</v>
      </c>
      <c r="J102" s="82">
        <f>+J90*$B$99</f>
        <v>802345.12743640575</v>
      </c>
      <c r="K102" s="82">
        <v>0</v>
      </c>
      <c r="L102" s="82">
        <v>0</v>
      </c>
      <c r="M102" s="82">
        <v>0</v>
      </c>
      <c r="N102" s="82">
        <v>0</v>
      </c>
      <c r="O102" s="82">
        <v>0</v>
      </c>
      <c r="P102" s="82">
        <v>0</v>
      </c>
      <c r="Q102" s="82">
        <v>0</v>
      </c>
      <c r="R102" s="82">
        <v>0</v>
      </c>
      <c r="S102" s="82">
        <v>0</v>
      </c>
      <c r="T102" s="82">
        <v>0</v>
      </c>
      <c r="U102" s="82">
        <v>0</v>
      </c>
      <c r="V102" s="82">
        <v>0</v>
      </c>
      <c r="W102" s="82">
        <v>0</v>
      </c>
      <c r="X102" s="82"/>
      <c r="Y102" s="20">
        <f>SUM(C102:S102)</f>
        <v>6256262.952913329</v>
      </c>
    </row>
    <row r="103" spans="1:28" s="78" customFormat="1">
      <c r="A103" s="78" t="s">
        <v>75</v>
      </c>
      <c r="C103" s="82"/>
      <c r="D103" s="98">
        <f>SUM(D100:D102)</f>
        <v>975024</v>
      </c>
      <c r="E103" s="98">
        <f t="shared" ref="E103:N103" si="51">SUM(E100:E102)</f>
        <v>951078.14723524917</v>
      </c>
      <c r="F103" s="98">
        <f t="shared" si="51"/>
        <v>925379.45804811863</v>
      </c>
      <c r="G103" s="98">
        <f t="shared" si="51"/>
        <v>897799.62481248996</v>
      </c>
      <c r="H103" s="98">
        <f t="shared" si="51"/>
        <v>868200.94778401346</v>
      </c>
      <c r="I103" s="98">
        <f t="shared" si="51"/>
        <v>836435.64759705239</v>
      </c>
      <c r="J103" s="98">
        <f t="shared" si="51"/>
        <v>802345.12743640575</v>
      </c>
      <c r="K103" s="98">
        <f t="shared" si="51"/>
        <v>0</v>
      </c>
      <c r="L103" s="98">
        <f t="shared" si="51"/>
        <v>0</v>
      </c>
      <c r="M103" s="98">
        <f t="shared" si="51"/>
        <v>0</v>
      </c>
      <c r="N103" s="98">
        <f t="shared" si="51"/>
        <v>0</v>
      </c>
      <c r="O103" s="98">
        <f t="shared" ref="O103:Y103" si="52">SUM(O100:O102)</f>
        <v>0</v>
      </c>
      <c r="P103" s="98">
        <f t="shared" si="52"/>
        <v>0</v>
      </c>
      <c r="Q103" s="98">
        <f t="shared" si="52"/>
        <v>0</v>
      </c>
      <c r="R103" s="98">
        <f t="shared" si="52"/>
        <v>0</v>
      </c>
      <c r="S103" s="98">
        <f t="shared" si="52"/>
        <v>0</v>
      </c>
      <c r="T103" s="98">
        <f t="shared" si="52"/>
        <v>0</v>
      </c>
      <c r="U103" s="98">
        <f t="shared" si="52"/>
        <v>0</v>
      </c>
      <c r="V103" s="98">
        <f t="shared" si="52"/>
        <v>0</v>
      </c>
      <c r="W103" s="98">
        <f t="shared" si="52"/>
        <v>0</v>
      </c>
      <c r="X103" s="98"/>
      <c r="Y103" s="42">
        <f t="shared" si="52"/>
        <v>6256262.952913329</v>
      </c>
    </row>
    <row r="104" spans="1:28" s="78" customFormat="1"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15"/>
    </row>
    <row r="105" spans="1:28" s="78" customFormat="1">
      <c r="A105" s="78" t="s">
        <v>76</v>
      </c>
      <c r="C105" s="82"/>
      <c r="D105" s="82"/>
      <c r="E105" s="82"/>
      <c r="F105" s="82"/>
      <c r="G105" s="82"/>
      <c r="H105" s="82"/>
      <c r="I105" s="82"/>
      <c r="J105" s="82"/>
      <c r="K105" s="82">
        <f t="shared" ref="K105:W105" si="53">+K93-K100</f>
        <v>0</v>
      </c>
      <c r="L105" s="82">
        <f t="shared" si="53"/>
        <v>0</v>
      </c>
      <c r="M105" s="82">
        <f t="shared" si="53"/>
        <v>0</v>
      </c>
      <c r="N105" s="82">
        <f t="shared" si="53"/>
        <v>0</v>
      </c>
      <c r="O105" s="82">
        <f t="shared" si="53"/>
        <v>0</v>
      </c>
      <c r="P105" s="82">
        <f t="shared" si="53"/>
        <v>0</v>
      </c>
      <c r="Q105" s="82">
        <f t="shared" si="53"/>
        <v>0</v>
      </c>
      <c r="R105" s="82">
        <f t="shared" si="53"/>
        <v>0</v>
      </c>
      <c r="S105" s="82">
        <f t="shared" si="53"/>
        <v>0</v>
      </c>
      <c r="T105" s="82">
        <f t="shared" si="53"/>
        <v>0</v>
      </c>
      <c r="U105" s="82">
        <f t="shared" si="53"/>
        <v>0</v>
      </c>
      <c r="V105" s="82">
        <f t="shared" si="53"/>
        <v>0</v>
      </c>
      <c r="W105" s="82">
        <f t="shared" si="53"/>
        <v>0</v>
      </c>
      <c r="X105" s="82"/>
      <c r="Y105" s="20">
        <f>SUM(C105:S105)</f>
        <v>0</v>
      </c>
      <c r="Z105" s="101">
        <f>+Y105-K93</f>
        <v>0</v>
      </c>
    </row>
    <row r="106" spans="1:28" s="78" customFormat="1">
      <c r="A106" s="78" t="s">
        <v>77</v>
      </c>
      <c r="C106" s="82"/>
      <c r="D106" s="82"/>
      <c r="E106" s="82"/>
      <c r="F106" s="82"/>
      <c r="G106" s="82">
        <f>+G94-G101</f>
        <v>0</v>
      </c>
      <c r="H106" s="82">
        <f t="shared" ref="H106:M106" si="54">+H94-H101</f>
        <v>0</v>
      </c>
      <c r="I106" s="82">
        <f t="shared" si="54"/>
        <v>0</v>
      </c>
      <c r="J106" s="82">
        <f t="shared" si="54"/>
        <v>0</v>
      </c>
      <c r="K106" s="82">
        <f t="shared" si="54"/>
        <v>0</v>
      </c>
      <c r="L106" s="82">
        <f t="shared" si="54"/>
        <v>0</v>
      </c>
      <c r="M106" s="82">
        <f t="shared" si="54"/>
        <v>0</v>
      </c>
      <c r="N106" s="82">
        <f t="shared" ref="N106:W106" si="55">+N94-N101</f>
        <v>0</v>
      </c>
      <c r="O106" s="82">
        <f t="shared" si="55"/>
        <v>0</v>
      </c>
      <c r="P106" s="82">
        <f t="shared" si="55"/>
        <v>0</v>
      </c>
      <c r="Q106" s="82">
        <f t="shared" si="55"/>
        <v>0</v>
      </c>
      <c r="R106" s="82">
        <f t="shared" si="55"/>
        <v>0</v>
      </c>
      <c r="S106" s="82">
        <f t="shared" si="55"/>
        <v>0</v>
      </c>
      <c r="T106" s="82">
        <f t="shared" si="55"/>
        <v>0</v>
      </c>
      <c r="U106" s="82">
        <f t="shared" si="55"/>
        <v>0</v>
      </c>
      <c r="V106" s="82">
        <f t="shared" si="55"/>
        <v>0</v>
      </c>
      <c r="W106" s="82">
        <f t="shared" si="55"/>
        <v>0</v>
      </c>
      <c r="X106" s="82"/>
      <c r="Y106" s="20">
        <f>SUM(C106:S106)</f>
        <v>0</v>
      </c>
      <c r="Z106" s="101">
        <f>+Y106-G89</f>
        <v>0</v>
      </c>
      <c r="AA106" s="91" t="s">
        <v>38</v>
      </c>
      <c r="AB106" s="91"/>
    </row>
    <row r="107" spans="1:28" s="78" customFormat="1">
      <c r="A107" s="78" t="s">
        <v>78</v>
      </c>
      <c r="C107" s="82"/>
      <c r="D107" s="225">
        <f>+D96-D103</f>
        <v>327129.1361304759</v>
      </c>
      <c r="E107" s="225">
        <f t="shared" ref="E107:J107" si="56">+E96-E103</f>
        <v>351074.98889522674</v>
      </c>
      <c r="F107" s="225">
        <f t="shared" si="56"/>
        <v>376773.67808235728</v>
      </c>
      <c r="G107" s="225">
        <f t="shared" si="56"/>
        <v>404353.51131798595</v>
      </c>
      <c r="H107" s="225">
        <f t="shared" si="56"/>
        <v>433952.18834646244</v>
      </c>
      <c r="I107" s="225">
        <f t="shared" si="56"/>
        <v>465717.48853342352</v>
      </c>
      <c r="J107" s="225">
        <f t="shared" si="56"/>
        <v>10960999.008694071</v>
      </c>
      <c r="K107" s="82">
        <v>0</v>
      </c>
      <c r="L107" s="82">
        <v>0</v>
      </c>
      <c r="M107" s="82">
        <v>0</v>
      </c>
      <c r="N107" s="82">
        <v>0</v>
      </c>
      <c r="O107" s="82">
        <v>0</v>
      </c>
      <c r="P107" s="82">
        <v>0</v>
      </c>
      <c r="Q107" s="82">
        <v>0</v>
      </c>
      <c r="R107" s="82">
        <v>0</v>
      </c>
      <c r="S107" s="82">
        <v>0</v>
      </c>
      <c r="T107" s="82">
        <v>0</v>
      </c>
      <c r="U107" s="82">
        <v>0</v>
      </c>
      <c r="V107" s="82">
        <v>0</v>
      </c>
      <c r="W107" s="82">
        <v>0</v>
      </c>
      <c r="X107" s="82"/>
      <c r="Y107" s="20">
        <f>SUM(C107:S107)</f>
        <v>13320000.000000004</v>
      </c>
      <c r="Z107" s="101">
        <f>+Y107-D90</f>
        <v>0</v>
      </c>
    </row>
    <row r="108" spans="1:28" s="78" customFormat="1">
      <c r="A108" s="78" t="s">
        <v>79</v>
      </c>
      <c r="C108" s="82"/>
      <c r="D108" s="98">
        <f>SUM(D105:D107)</f>
        <v>327129.1361304759</v>
      </c>
      <c r="E108" s="98">
        <f t="shared" ref="E108:N108" si="57">SUM(E105:E107)</f>
        <v>351074.98889522674</v>
      </c>
      <c r="F108" s="98">
        <f t="shared" si="57"/>
        <v>376773.67808235728</v>
      </c>
      <c r="G108" s="98">
        <f t="shared" si="57"/>
        <v>404353.51131798595</v>
      </c>
      <c r="H108" s="98">
        <f t="shared" si="57"/>
        <v>433952.18834646244</v>
      </c>
      <c r="I108" s="98">
        <f t="shared" si="57"/>
        <v>465717.48853342352</v>
      </c>
      <c r="J108" s="98">
        <f t="shared" si="57"/>
        <v>10960999.008694071</v>
      </c>
      <c r="K108" s="98">
        <f t="shared" si="57"/>
        <v>0</v>
      </c>
      <c r="L108" s="98">
        <f t="shared" si="57"/>
        <v>0</v>
      </c>
      <c r="M108" s="98">
        <f t="shared" si="57"/>
        <v>0</v>
      </c>
      <c r="N108" s="98">
        <f t="shared" si="57"/>
        <v>0</v>
      </c>
      <c r="O108" s="98">
        <f t="shared" ref="O108:Y108" si="58">SUM(O105:O107)</f>
        <v>0</v>
      </c>
      <c r="P108" s="98">
        <f t="shared" si="58"/>
        <v>0</v>
      </c>
      <c r="Q108" s="98">
        <f t="shared" si="58"/>
        <v>0</v>
      </c>
      <c r="R108" s="98">
        <f t="shared" si="58"/>
        <v>0</v>
      </c>
      <c r="S108" s="98">
        <f t="shared" si="58"/>
        <v>0</v>
      </c>
      <c r="T108" s="98">
        <f t="shared" si="58"/>
        <v>0</v>
      </c>
      <c r="U108" s="98">
        <f t="shared" si="58"/>
        <v>0</v>
      </c>
      <c r="V108" s="98">
        <f t="shared" si="58"/>
        <v>0</v>
      </c>
      <c r="W108" s="98">
        <f t="shared" si="58"/>
        <v>0</v>
      </c>
      <c r="X108" s="98"/>
      <c r="Y108" s="42">
        <f t="shared" si="58"/>
        <v>13320000.000000004</v>
      </c>
    </row>
    <row r="109" spans="1:28"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</row>
    <row r="110" spans="1:28" s="78" customFormat="1"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</row>
    <row r="111" spans="1:28" s="78" customFormat="1"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</row>
    <row r="112" spans="1:28"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</row>
  </sheetData>
  <printOptions horizontalCentered="1"/>
  <pageMargins left="0.25" right="0.25" top="0.39" bottom="0.19" header="0.25" footer="0.21"/>
  <pageSetup scale="58" orientation="landscape" horizontalDpi="300" verticalDpi="300" r:id="rId1"/>
  <headerFooter alignWithMargins="0">
    <oddHeader>&amp;F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opLeftCell="A29" workbookViewId="0">
      <selection activeCell="C25" sqref="C25"/>
    </sheetView>
  </sheetViews>
  <sheetFormatPr defaultColWidth="9.109375" defaultRowHeight="10.199999999999999"/>
  <cols>
    <col min="1" max="1" width="37.5546875" style="1" customWidth="1"/>
    <col min="2" max="2" width="14.88671875" style="1" customWidth="1"/>
    <col min="3" max="3" width="11.33203125" style="1" customWidth="1"/>
    <col min="4" max="4" width="15" style="1" customWidth="1"/>
    <col min="5" max="5" width="13.33203125" style="1" customWidth="1"/>
    <col min="6" max="8" width="12" style="1" bestFit="1" customWidth="1"/>
    <col min="9" max="9" width="12.33203125" style="1" bestFit="1" customWidth="1"/>
    <col min="10" max="10" width="12.88671875" style="1" bestFit="1" customWidth="1"/>
    <col min="11" max="12" width="12" style="1" bestFit="1" customWidth="1"/>
    <col min="13" max="13" width="12.33203125" style="1" bestFit="1" customWidth="1"/>
    <col min="14" max="16384" width="9.109375" style="1"/>
  </cols>
  <sheetData>
    <row r="1" spans="1:6">
      <c r="A1" s="44" t="str">
        <f>+Model!D2</f>
        <v>For informational purposes only - Not to be construed as approval/disapproval by the Economic Analysis Dept.</v>
      </c>
      <c r="B1" s="44"/>
    </row>
    <row r="2" spans="1:6" ht="10.8" thickBot="1">
      <c r="A2" s="44"/>
      <c r="B2" s="44"/>
      <c r="C2" s="44"/>
    </row>
    <row r="3" spans="1:6">
      <c r="A3" s="44" t="str">
        <f>+'Input Sheet'!B1</f>
        <v>Project Name:</v>
      </c>
      <c r="B3" s="44" t="str">
        <f>+'Input Sheet'!C1</f>
        <v>TW Compressor Monetization</v>
      </c>
      <c r="D3" s="278" t="s">
        <v>207</v>
      </c>
      <c r="E3" s="279"/>
      <c r="F3" s="280">
        <v>2.5000000000000001E-2</v>
      </c>
    </row>
    <row r="4" spans="1:6" ht="4.5" customHeight="1">
      <c r="A4" s="44"/>
      <c r="B4" s="44"/>
      <c r="C4" s="44"/>
      <c r="D4" s="281"/>
      <c r="E4" s="58"/>
      <c r="F4" s="282"/>
    </row>
    <row r="5" spans="1:6" ht="10.8" thickBot="1">
      <c r="D5" s="283" t="s">
        <v>261</v>
      </c>
      <c r="E5" s="285">
        <f>+B47</f>
        <v>8.2168991853144607E-2</v>
      </c>
      <c r="F5" s="66"/>
    </row>
    <row r="7" spans="1:6">
      <c r="A7" s="44" t="s">
        <v>210</v>
      </c>
      <c r="B7" s="157">
        <v>14800000</v>
      </c>
      <c r="D7" s="44" t="s">
        <v>210</v>
      </c>
      <c r="E7" s="277">
        <f>+B7</f>
        <v>14800000</v>
      </c>
    </row>
    <row r="8" spans="1:6">
      <c r="A8" s="44" t="s">
        <v>221</v>
      </c>
      <c r="B8" s="248">
        <v>11444593</v>
      </c>
      <c r="D8" s="44" t="s">
        <v>257</v>
      </c>
      <c r="E8" s="277">
        <v>4441997.2672000015</v>
      </c>
    </row>
    <row r="9" spans="1:6">
      <c r="A9" s="44" t="s">
        <v>222</v>
      </c>
      <c r="B9" s="248">
        <v>160000</v>
      </c>
      <c r="D9" s="44" t="s">
        <v>216</v>
      </c>
      <c r="E9" s="277">
        <f>+B9</f>
        <v>160000</v>
      </c>
    </row>
    <row r="10" spans="1:6">
      <c r="A10" s="148" t="s">
        <v>260</v>
      </c>
      <c r="B10" s="249">
        <f>+B7-B8-B9</f>
        <v>3195407</v>
      </c>
      <c r="D10" s="44" t="s">
        <v>258</v>
      </c>
      <c r="E10" s="249">
        <f>+E7-E8-E9</f>
        <v>10198002.732799999</v>
      </c>
    </row>
    <row r="11" spans="1:6" ht="10.8" thickBot="1">
      <c r="D11" s="44" t="s">
        <v>259</v>
      </c>
      <c r="E11" s="157">
        <f>+E10*0.3888</f>
        <v>3964983.4625126394</v>
      </c>
    </row>
    <row r="12" spans="1:6" ht="10.8" thickBot="1">
      <c r="A12" s="244" t="s">
        <v>223</v>
      </c>
      <c r="B12" s="61"/>
    </row>
    <row r="13" spans="1:6">
      <c r="A13" s="44" t="s">
        <v>225</v>
      </c>
      <c r="B13" s="253">
        <f>+'Input Sheet'!D21</f>
        <v>14800000</v>
      </c>
    </row>
    <row r="14" spans="1:6">
      <c r="A14" s="44" t="s">
        <v>224</v>
      </c>
      <c r="B14" s="157">
        <f>+'Input Sheet'!D5</f>
        <v>10461191</v>
      </c>
      <c r="C14" s="1" t="s">
        <v>227</v>
      </c>
    </row>
    <row r="15" spans="1:6">
      <c r="A15" s="44" t="s">
        <v>226</v>
      </c>
      <c r="B15" s="251">
        <v>0.39</v>
      </c>
    </row>
    <row r="16" spans="1:6" ht="10.8" thickBot="1">
      <c r="A16" s="44"/>
      <c r="B16" s="44"/>
      <c r="C16" s="250"/>
    </row>
    <row r="17" spans="1:10">
      <c r="A17" s="215" t="s">
        <v>188</v>
      </c>
      <c r="B17" s="158" t="str">
        <f>+Model!A23</f>
        <v>DEBT</v>
      </c>
      <c r="C17" s="159">
        <v>0.9</v>
      </c>
    </row>
    <row r="18" spans="1:10" ht="10.8" thickBot="1">
      <c r="B18" s="160" t="str">
        <f>+Model!A24</f>
        <v>EQUITY</v>
      </c>
      <c r="C18" s="161">
        <v>0.1</v>
      </c>
    </row>
    <row r="19" spans="1:10" ht="10.8" thickBot="1">
      <c r="B19" s="229"/>
      <c r="C19" s="230"/>
    </row>
    <row r="20" spans="1:10">
      <c r="A20" s="44" t="s">
        <v>243</v>
      </c>
      <c r="B20" s="269" t="s">
        <v>244</v>
      </c>
      <c r="C20" s="271">
        <f>+B7*C18</f>
        <v>1480000</v>
      </c>
    </row>
    <row r="21" spans="1:10">
      <c r="A21" s="44"/>
      <c r="B21" s="232" t="s">
        <v>245</v>
      </c>
      <c r="C21" s="272">
        <f>+B7-C20</f>
        <v>13320000</v>
      </c>
    </row>
    <row r="22" spans="1:10">
      <c r="A22" s="44"/>
      <c r="B22" s="232" t="s">
        <v>233</v>
      </c>
      <c r="C22" s="270">
        <v>7</v>
      </c>
    </row>
    <row r="23" spans="1:10">
      <c r="B23" s="235" t="s">
        <v>152</v>
      </c>
      <c r="C23" s="233">
        <v>7.3200000000000001E-2</v>
      </c>
    </row>
    <row r="24" spans="1:10">
      <c r="B24" s="235" t="s">
        <v>228</v>
      </c>
      <c r="C24" s="252">
        <f>+Model!D96</f>
        <v>1302153.1361304759</v>
      </c>
    </row>
    <row r="25" spans="1:10" ht="10.8" thickBot="1">
      <c r="B25" s="234" t="s">
        <v>212</v>
      </c>
      <c r="C25" s="236">
        <f>+Model!J65</f>
        <v>10960999.008694071</v>
      </c>
    </row>
    <row r="26" spans="1:10" ht="10.8" thickBot="1"/>
    <row r="27" spans="1:10" ht="10.8" thickBot="1">
      <c r="A27" s="286" t="s">
        <v>229</v>
      </c>
      <c r="B27" s="287" t="s">
        <v>20</v>
      </c>
      <c r="D27" s="263">
        <v>2001</v>
      </c>
      <c r="E27" s="263">
        <v>2002</v>
      </c>
      <c r="F27" s="263">
        <v>2003</v>
      </c>
      <c r="G27" s="263">
        <v>2004</v>
      </c>
      <c r="H27" s="263">
        <v>2005</v>
      </c>
      <c r="I27" s="263">
        <v>2006</v>
      </c>
      <c r="J27" s="263">
        <v>2007</v>
      </c>
    </row>
    <row r="28" spans="1:10">
      <c r="A28" s="1" t="s">
        <v>230</v>
      </c>
      <c r="B28" s="216">
        <f t="shared" ref="B28:B33" si="0">SUM(D28:J28)</f>
        <v>351046.67245493631</v>
      </c>
      <c r="D28" s="216">
        <f t="shared" ref="D28:J28" si="1">+D33-D29-D30-D31-D32</f>
        <v>-17969.702142857248</v>
      </c>
      <c r="E28" s="216">
        <f t="shared" si="1"/>
        <v>351.46337189362384</v>
      </c>
      <c r="F28" s="216">
        <f t="shared" si="1"/>
        <v>19290.909191524494</v>
      </c>
      <c r="G28" s="216">
        <f t="shared" si="1"/>
        <v>42184.381508628023</v>
      </c>
      <c r="H28" s="216">
        <f t="shared" si="1"/>
        <v>69358.48729102395</v>
      </c>
      <c r="I28" s="216">
        <f t="shared" si="1"/>
        <v>100971.58809452178</v>
      </c>
      <c r="J28" s="216">
        <f t="shared" si="1"/>
        <v>136859.54514020169</v>
      </c>
    </row>
    <row r="29" spans="1:10">
      <c r="A29" s="1" t="s">
        <v>213</v>
      </c>
      <c r="B29" s="216">
        <f t="shared" si="0"/>
        <v>4338809</v>
      </c>
      <c r="D29" s="218">
        <f>(B7-B14)/7</f>
        <v>619829.85714285716</v>
      </c>
      <c r="E29" s="218">
        <f t="shared" ref="E29:J30" si="2">+D29</f>
        <v>619829.85714285716</v>
      </c>
      <c r="F29" s="218">
        <f t="shared" si="2"/>
        <v>619829.85714285716</v>
      </c>
      <c r="G29" s="218">
        <f t="shared" si="2"/>
        <v>619829.85714285716</v>
      </c>
      <c r="H29" s="218">
        <f t="shared" si="2"/>
        <v>619829.85714285716</v>
      </c>
      <c r="I29" s="218">
        <f t="shared" si="2"/>
        <v>619829.85714285716</v>
      </c>
      <c r="J29" s="218">
        <f t="shared" si="2"/>
        <v>619829.85714285716</v>
      </c>
    </row>
    <row r="30" spans="1:10">
      <c r="A30" s="1" t="s">
        <v>214</v>
      </c>
      <c r="B30" s="216">
        <f t="shared" si="0"/>
        <v>1147302.9400000002</v>
      </c>
      <c r="D30" s="254">
        <v>163900.42000000001</v>
      </c>
      <c r="E30" s="254">
        <f t="shared" si="2"/>
        <v>163900.42000000001</v>
      </c>
      <c r="F30" s="254">
        <f t="shared" si="2"/>
        <v>163900.42000000001</v>
      </c>
      <c r="G30" s="254">
        <f t="shared" si="2"/>
        <v>163900.42000000001</v>
      </c>
      <c r="H30" s="254">
        <f t="shared" si="2"/>
        <v>163900.42000000001</v>
      </c>
      <c r="I30" s="254">
        <f t="shared" si="2"/>
        <v>163900.42000000001</v>
      </c>
      <c r="J30" s="254">
        <f t="shared" si="2"/>
        <v>163900.42000000001</v>
      </c>
    </row>
    <row r="31" spans="1:10">
      <c r="A31" s="1" t="s">
        <v>36</v>
      </c>
      <c r="B31" s="216">
        <f t="shared" si="0"/>
        <v>8325468.9000000004</v>
      </c>
      <c r="D31" s="218">
        <f>+'Input Sheet'!D76</f>
        <v>1189352.7</v>
      </c>
      <c r="E31" s="218">
        <f>+'Input Sheet'!E76</f>
        <v>1189352.7</v>
      </c>
      <c r="F31" s="218">
        <f>+'Input Sheet'!F76</f>
        <v>1189352.7</v>
      </c>
      <c r="G31" s="218">
        <f>+'Input Sheet'!G76</f>
        <v>1189352.7</v>
      </c>
      <c r="H31" s="218">
        <f>+'Input Sheet'!H76</f>
        <v>1189352.7</v>
      </c>
      <c r="I31" s="218">
        <f>+'Input Sheet'!I76</f>
        <v>1189352.7</v>
      </c>
      <c r="J31" s="218">
        <f>+'Input Sheet'!J76</f>
        <v>1189352.7</v>
      </c>
    </row>
    <row r="32" spans="1:10">
      <c r="A32" s="1" t="s">
        <v>241</v>
      </c>
      <c r="B32" s="216">
        <f t="shared" si="0"/>
        <v>6256262.952913329</v>
      </c>
      <c r="D32" s="255">
        <f>+Model!D54</f>
        <v>975024</v>
      </c>
      <c r="E32" s="255">
        <f>+Model!E54</f>
        <v>951078.14723524917</v>
      </c>
      <c r="F32" s="255">
        <f>+Model!F54</f>
        <v>925379.45804811863</v>
      </c>
      <c r="G32" s="255">
        <f>+Model!G54</f>
        <v>897799.62481248996</v>
      </c>
      <c r="H32" s="255">
        <f>+Model!H54</f>
        <v>868200.94778401346</v>
      </c>
      <c r="I32" s="255">
        <f>+Model!I54</f>
        <v>836435.64759705239</v>
      </c>
      <c r="J32" s="255">
        <f>+Model!J54</f>
        <v>802345.12743640575</v>
      </c>
    </row>
    <row r="33" spans="1:10" ht="10.8" thickBot="1">
      <c r="A33" s="44" t="s">
        <v>208</v>
      </c>
      <c r="B33" s="243">
        <f t="shared" si="0"/>
        <v>20418890.465368267</v>
      </c>
      <c r="D33" s="256">
        <f t="shared" ref="D33:J33" si="3">+D92*(1-$B$98)</f>
        <v>2930137.2749999999</v>
      </c>
      <c r="E33" s="256">
        <f t="shared" si="3"/>
        <v>2924512.5877499999</v>
      </c>
      <c r="F33" s="256">
        <f t="shared" si="3"/>
        <v>2917753.3443825003</v>
      </c>
      <c r="G33" s="256">
        <f t="shared" si="3"/>
        <v>2913066.9834639751</v>
      </c>
      <c r="H33" s="256">
        <f t="shared" si="3"/>
        <v>2910642.4122178946</v>
      </c>
      <c r="I33" s="256">
        <f t="shared" si="3"/>
        <v>2910490.2128344313</v>
      </c>
      <c r="J33" s="256">
        <f t="shared" si="3"/>
        <v>2912287.6497194646</v>
      </c>
    </row>
    <row r="34" spans="1:10" ht="10.8" thickTop="1">
      <c r="B34" s="255"/>
    </row>
    <row r="35" spans="1:10">
      <c r="A35" s="273" t="s">
        <v>232</v>
      </c>
      <c r="B35" s="274"/>
      <c r="C35" s="258"/>
      <c r="D35" s="258"/>
      <c r="E35" s="258"/>
      <c r="F35" s="258"/>
      <c r="G35" s="58"/>
    </row>
    <row r="36" spans="1:10" ht="10.8" thickBot="1">
      <c r="A36" s="215"/>
      <c r="B36" s="61"/>
      <c r="C36" s="58"/>
      <c r="D36" s="58"/>
      <c r="E36" s="58"/>
      <c r="F36" s="58"/>
      <c r="G36" s="58"/>
    </row>
    <row r="37" spans="1:10" ht="10.8" thickBot="1">
      <c r="A37" s="262" t="s">
        <v>234</v>
      </c>
      <c r="B37" s="289" t="s">
        <v>187</v>
      </c>
      <c r="C37" s="288">
        <v>2000</v>
      </c>
      <c r="D37" s="263">
        <v>2001</v>
      </c>
      <c r="E37" s="263">
        <v>2002</v>
      </c>
      <c r="F37" s="263">
        <v>2003</v>
      </c>
      <c r="G37" s="263">
        <v>2004</v>
      </c>
      <c r="H37" s="263">
        <v>2005</v>
      </c>
      <c r="I37" s="263">
        <v>2006</v>
      </c>
      <c r="J37" s="263">
        <v>2007</v>
      </c>
    </row>
    <row r="38" spans="1:10">
      <c r="A38" s="215" t="s">
        <v>235</v>
      </c>
      <c r="B38" s="290">
        <f>+C38</f>
        <v>-1479999.9999999998</v>
      </c>
      <c r="C38" s="196">
        <f>+Model!C66</f>
        <v>-1479999.9999999998</v>
      </c>
      <c r="D38" s="58"/>
      <c r="E38" s="58"/>
      <c r="F38" s="58"/>
      <c r="G38" s="58"/>
      <c r="H38" s="58"/>
    </row>
    <row r="39" spans="1:10">
      <c r="A39" s="215" t="s">
        <v>238</v>
      </c>
      <c r="B39" s="291">
        <f t="shared" ref="B39:B44" si="4">NPV(0.095,D39:J39)</f>
        <v>14443808.514278194</v>
      </c>
      <c r="C39" s="196"/>
      <c r="D39" s="259">
        <f t="shared" ref="D39:J39" si="5">+D33</f>
        <v>2930137.2749999999</v>
      </c>
      <c r="E39" s="259">
        <f t="shared" si="5"/>
        <v>2924512.5877499999</v>
      </c>
      <c r="F39" s="259">
        <f t="shared" si="5"/>
        <v>2917753.3443825003</v>
      </c>
      <c r="G39" s="259">
        <f t="shared" si="5"/>
        <v>2913066.9834639751</v>
      </c>
      <c r="H39" s="259">
        <f t="shared" si="5"/>
        <v>2910642.4122178946</v>
      </c>
      <c r="I39" s="259">
        <f t="shared" si="5"/>
        <v>2910490.2128344313</v>
      </c>
      <c r="J39" s="259">
        <f t="shared" si="5"/>
        <v>2912287.6497194646</v>
      </c>
    </row>
    <row r="40" spans="1:10">
      <c r="A40" s="215" t="s">
        <v>214</v>
      </c>
      <c r="B40" s="291">
        <f t="shared" si="4"/>
        <v>-811243.52093254286</v>
      </c>
      <c r="C40" s="223"/>
      <c r="D40" s="223">
        <f t="shared" ref="D40:J41" si="6">-D30</f>
        <v>-163900.42000000001</v>
      </c>
      <c r="E40" s="223">
        <f t="shared" si="6"/>
        <v>-163900.42000000001</v>
      </c>
      <c r="F40" s="223">
        <f t="shared" si="6"/>
        <v>-163900.42000000001</v>
      </c>
      <c r="G40" s="223">
        <f t="shared" si="6"/>
        <v>-163900.42000000001</v>
      </c>
      <c r="H40" s="223">
        <f t="shared" si="6"/>
        <v>-163900.42000000001</v>
      </c>
      <c r="I40" s="223">
        <f t="shared" si="6"/>
        <v>-163900.42000000001</v>
      </c>
      <c r="J40" s="223">
        <f t="shared" si="6"/>
        <v>-163900.42000000001</v>
      </c>
    </row>
    <row r="41" spans="1:10">
      <c r="A41" s="215" t="s">
        <v>36</v>
      </c>
      <c r="B41" s="291">
        <f t="shared" si="4"/>
        <v>-5886834.6522762189</v>
      </c>
      <c r="C41" s="61"/>
      <c r="D41" s="259">
        <f t="shared" si="6"/>
        <v>-1189352.7</v>
      </c>
      <c r="E41" s="259">
        <f t="shared" si="6"/>
        <v>-1189352.7</v>
      </c>
      <c r="F41" s="259">
        <f t="shared" si="6"/>
        <v>-1189352.7</v>
      </c>
      <c r="G41" s="259">
        <f t="shared" si="6"/>
        <v>-1189352.7</v>
      </c>
      <c r="H41" s="259">
        <f t="shared" si="6"/>
        <v>-1189352.7</v>
      </c>
      <c r="I41" s="259">
        <f t="shared" si="6"/>
        <v>-1189352.7</v>
      </c>
      <c r="J41" s="259">
        <f t="shared" si="6"/>
        <v>-1189352.7</v>
      </c>
    </row>
    <row r="42" spans="1:10">
      <c r="A42" s="215" t="s">
        <v>231</v>
      </c>
      <c r="B42" s="291">
        <f t="shared" si="4"/>
        <v>-11987354.386579463</v>
      </c>
      <c r="C42" s="61"/>
      <c r="D42" s="259">
        <f>-Model!D96</f>
        <v>-1302153.1361304759</v>
      </c>
      <c r="E42" s="259">
        <f>-Model!E96</f>
        <v>-1302153.1361304759</v>
      </c>
      <c r="F42" s="259">
        <f>-Model!F96</f>
        <v>-1302153.1361304759</v>
      </c>
      <c r="G42" s="259">
        <f>-Model!G96</f>
        <v>-1302153.1361304759</v>
      </c>
      <c r="H42" s="259">
        <f>-Model!H96</f>
        <v>-1302153.1361304759</v>
      </c>
      <c r="I42" s="259">
        <f>-Model!I96</f>
        <v>-1302153.1361304759</v>
      </c>
      <c r="J42" s="259">
        <f>-Model!J96</f>
        <v>-11763344.136130476</v>
      </c>
    </row>
    <row r="43" spans="1:10">
      <c r="A43" s="215" t="s">
        <v>236</v>
      </c>
      <c r="B43" s="291">
        <f t="shared" si="4"/>
        <v>146659.80468158692</v>
      </c>
      <c r="C43" s="61"/>
      <c r="D43" s="260">
        <f>-Model!D64</f>
        <v>53874.539550000081</v>
      </c>
      <c r="E43" s="260">
        <f>-Model!E64</f>
        <v>306469.28499924723</v>
      </c>
      <c r="F43" s="260">
        <f>-Model!F64</f>
        <v>244248.90112959125</v>
      </c>
      <c r="G43" s="260">
        <f>-Model!G64</f>
        <v>186258.44692592078</v>
      </c>
      <c r="H43" s="260">
        <f>-Model!H64</f>
        <v>131216.14567078647</v>
      </c>
      <c r="I43" s="260">
        <f>-Model!I64</f>
        <v>78483.03635742217</v>
      </c>
      <c r="J43" s="260">
        <f>-Model!J64</f>
        <v>-1137458.5568903938</v>
      </c>
    </row>
    <row r="44" spans="1:10">
      <c r="A44" s="215" t="s">
        <v>237</v>
      </c>
      <c r="B44" s="291">
        <f t="shared" si="4"/>
        <v>9553599.0867579915</v>
      </c>
      <c r="C44" s="61"/>
      <c r="D44" s="58"/>
      <c r="E44" s="58"/>
      <c r="F44" s="58"/>
      <c r="G44" s="58"/>
      <c r="H44" s="58"/>
      <c r="J44" s="183">
        <f>Model!J49</f>
        <v>10461191</v>
      </c>
    </row>
    <row r="45" spans="1:10" ht="10.8" thickBot="1">
      <c r="A45" s="148" t="s">
        <v>211</v>
      </c>
      <c r="B45" s="292">
        <f>NPV(0.095,D45:J45)+C45</f>
        <v>-32762.923093100078</v>
      </c>
      <c r="C45" s="264">
        <f>SUM(C38:C44)</f>
        <v>-1479999.9999999998</v>
      </c>
      <c r="D45" s="264">
        <f t="shared" ref="D45:J45" si="7">SUM(D38:D44)</f>
        <v>328605.55841952423</v>
      </c>
      <c r="E45" s="264">
        <f t="shared" si="7"/>
        <v>575575.61661877134</v>
      </c>
      <c r="F45" s="264">
        <f t="shared" si="7"/>
        <v>506595.98938161577</v>
      </c>
      <c r="G45" s="264">
        <f t="shared" si="7"/>
        <v>443919.17425942014</v>
      </c>
      <c r="H45" s="264">
        <f t="shared" si="7"/>
        <v>386452.30175820529</v>
      </c>
      <c r="I45" s="264">
        <f t="shared" si="7"/>
        <v>333566.99306137773</v>
      </c>
      <c r="J45" s="264">
        <f t="shared" si="7"/>
        <v>-880577.16330140643</v>
      </c>
    </row>
    <row r="46" spans="1:10" ht="10.8" thickBot="1">
      <c r="A46" s="215"/>
      <c r="B46" s="261"/>
      <c r="C46" s="261"/>
      <c r="D46" s="261"/>
      <c r="E46" s="261"/>
      <c r="F46" s="261"/>
      <c r="G46" s="261"/>
      <c r="H46" s="261"/>
      <c r="I46" s="261"/>
    </row>
    <row r="47" spans="1:10" ht="10.8" thickBot="1">
      <c r="A47" s="215" t="s">
        <v>239</v>
      </c>
      <c r="B47" s="268">
        <f>IRR(C45:J45)</f>
        <v>8.2168991853144607E-2</v>
      </c>
      <c r="C47" s="58"/>
      <c r="D47" s="58"/>
      <c r="E47" s="58"/>
      <c r="F47" s="58"/>
      <c r="G47" s="58"/>
      <c r="I47" s="183"/>
    </row>
    <row r="48" spans="1:10" ht="10.8" thickBot="1">
      <c r="A48" s="215" t="s">
        <v>239</v>
      </c>
      <c r="B48" s="268">
        <f>+Model!B9</f>
        <v>8.2168991853144621E-2</v>
      </c>
    </row>
    <row r="50" spans="1:12" ht="12.75" customHeight="1" thickBot="1">
      <c r="C50" s="221"/>
    </row>
    <row r="51" spans="1:12" ht="10.8" thickBot="1">
      <c r="A51" s="244" t="s">
        <v>242</v>
      </c>
      <c r="C51" s="218"/>
      <c r="D51" s="218"/>
      <c r="E51" s="218"/>
      <c r="F51" s="218"/>
    </row>
    <row r="52" spans="1:12">
      <c r="D52" s="71"/>
    </row>
    <row r="53" spans="1:12" ht="10.8" thickBot="1">
      <c r="A53" s="217" t="s">
        <v>255</v>
      </c>
    </row>
    <row r="54" spans="1:12">
      <c r="B54" s="275" t="s">
        <v>187</v>
      </c>
      <c r="C54" s="263">
        <v>2000</v>
      </c>
      <c r="D54" s="263">
        <v>2001</v>
      </c>
      <c r="E54" s="263">
        <v>2002</v>
      </c>
      <c r="F54" s="263">
        <v>2003</v>
      </c>
      <c r="G54" s="263">
        <v>2004</v>
      </c>
      <c r="H54" s="263">
        <v>2005</v>
      </c>
      <c r="I54" s="263">
        <v>2006</v>
      </c>
      <c r="J54" s="263">
        <v>2007</v>
      </c>
    </row>
    <row r="55" spans="1:12">
      <c r="A55" s="222" t="s">
        <v>251</v>
      </c>
      <c r="B55" s="220">
        <f>NPV(0.095,D55:J55)</f>
        <v>14814162.578746866</v>
      </c>
      <c r="D55" s="216">
        <f t="shared" ref="D55:J55" si="8">+D65</f>
        <v>3005269</v>
      </c>
      <c r="E55" s="216">
        <f t="shared" si="8"/>
        <v>2999500.09</v>
      </c>
      <c r="F55" s="216">
        <f t="shared" si="8"/>
        <v>2992567.5327000003</v>
      </c>
      <c r="G55" s="216">
        <f t="shared" si="8"/>
        <v>2987761.0086810002</v>
      </c>
      <c r="H55" s="216">
        <f t="shared" si="8"/>
        <v>2985274.2689414304</v>
      </c>
      <c r="I55" s="216">
        <f t="shared" si="8"/>
        <v>2985118.1670096731</v>
      </c>
      <c r="J55" s="216">
        <f t="shared" si="8"/>
        <v>2986961.6920199636</v>
      </c>
    </row>
    <row r="56" spans="1:12">
      <c r="A56" s="1" t="s">
        <v>214</v>
      </c>
      <c r="B56" s="220">
        <f>NPV(0.095,D56:J56)</f>
        <v>-811230.45667634753</v>
      </c>
      <c r="D56" s="254">
        <v>-163900.42000000001</v>
      </c>
      <c r="E56" s="254">
        <v>-163899.42000000001</v>
      </c>
      <c r="F56" s="254">
        <v>-163898.42000000001</v>
      </c>
      <c r="G56" s="254">
        <v>-163897.42000000001</v>
      </c>
      <c r="H56" s="254">
        <v>-163896.42000000001</v>
      </c>
      <c r="I56" s="254">
        <v>-163895.42000000001</v>
      </c>
      <c r="J56" s="254">
        <v>-163894.42000000001</v>
      </c>
    </row>
    <row r="57" spans="1:12">
      <c r="A57" s="1" t="s">
        <v>254</v>
      </c>
      <c r="B57" s="220">
        <f>NPV(0.095,D57:J57)</f>
        <v>-7083845.9135749843</v>
      </c>
      <c r="D57" s="218">
        <f t="shared" ref="D57:J57" si="9">-D91</f>
        <v>-1321503</v>
      </c>
      <c r="E57" s="218">
        <f t="shared" si="9"/>
        <v>-1361148.09</v>
      </c>
      <c r="F57" s="218">
        <f t="shared" si="9"/>
        <v>-1401982.5327000001</v>
      </c>
      <c r="G57" s="218">
        <f t="shared" si="9"/>
        <v>-1444042.0086810002</v>
      </c>
      <c r="H57" s="218">
        <f t="shared" si="9"/>
        <v>-1487363.2689414301</v>
      </c>
      <c r="I57" s="218">
        <f t="shared" si="9"/>
        <v>-1531984.1670096731</v>
      </c>
      <c r="J57" s="218">
        <f t="shared" si="9"/>
        <v>-1577943.6920199634</v>
      </c>
    </row>
    <row r="58" spans="1:12">
      <c r="A58" s="1" t="s">
        <v>236</v>
      </c>
      <c r="B58" s="220">
        <f>NPV(0.095,D58:J58)</f>
        <v>-829212.98032548523</v>
      </c>
      <c r="D58" s="216">
        <f>-(D55+D56+D57-16390042*0.059)*0.3888</f>
        <v>-214949.28605760002</v>
      </c>
      <c r="E58" s="216">
        <f t="shared" ref="E58:J58" si="10">-(E55+E56+E57-16390042*0.059)*0.3888</f>
        <v>-197292.71165759992</v>
      </c>
      <c r="F58" s="216">
        <f t="shared" si="10"/>
        <v>-178721.29085760011</v>
      </c>
      <c r="G58" s="216">
        <f t="shared" si="10"/>
        <v>-160500.17885760003</v>
      </c>
      <c r="H58" s="216">
        <f t="shared" si="10"/>
        <v>-142690.41725760011</v>
      </c>
      <c r="I58" s="216">
        <f t="shared" si="10"/>
        <v>-125281.50845760002</v>
      </c>
      <c r="J58" s="216">
        <f t="shared" si="10"/>
        <v>-108129.59645760011</v>
      </c>
    </row>
    <row r="59" spans="1:12" ht="10.8" thickBot="1">
      <c r="A59" s="1" t="s">
        <v>211</v>
      </c>
      <c r="B59" s="276">
        <f>NPV(0.095,D59:J59)</f>
        <v>6089873.2281700494</v>
      </c>
      <c r="C59" s="243">
        <f>SUM(C55:C58)</f>
        <v>0</v>
      </c>
      <c r="D59" s="243">
        <f>SUM(D55:D58)</f>
        <v>1304916.2939424</v>
      </c>
      <c r="E59" s="243">
        <f t="shared" ref="E59:J59" si="11">SUM(E55:E58)</f>
        <v>1277159.8683423998</v>
      </c>
      <c r="F59" s="243">
        <f t="shared" si="11"/>
        <v>1247965.2891424003</v>
      </c>
      <c r="G59" s="243">
        <f t="shared" si="11"/>
        <v>1219321.4011424</v>
      </c>
      <c r="H59" s="243">
        <f t="shared" si="11"/>
        <v>1191324.1627424001</v>
      </c>
      <c r="I59" s="243">
        <f t="shared" si="11"/>
        <v>1163957.0715423999</v>
      </c>
      <c r="J59" s="243">
        <f t="shared" si="11"/>
        <v>1136993.9835424002</v>
      </c>
    </row>
    <row r="60" spans="1:12" ht="10.8" thickTop="1"/>
    <row r="61" spans="1:12" ht="10.8" thickBot="1">
      <c r="A61" s="217" t="s">
        <v>256</v>
      </c>
      <c r="B61" s="275" t="s">
        <v>187</v>
      </c>
      <c r="C61" s="263">
        <v>2000</v>
      </c>
      <c r="D61" s="263">
        <v>2001</v>
      </c>
      <c r="E61" s="263">
        <v>2002</v>
      </c>
      <c r="F61" s="263">
        <v>2003</v>
      </c>
      <c r="G61" s="263">
        <v>2004</v>
      </c>
      <c r="H61" s="263">
        <v>2005</v>
      </c>
      <c r="I61" s="263">
        <v>2006</v>
      </c>
      <c r="J61" s="263">
        <v>2007</v>
      </c>
      <c r="K61" s="216"/>
      <c r="L61" s="216"/>
    </row>
    <row r="62" spans="1:12">
      <c r="A62" s="1" t="s">
        <v>210</v>
      </c>
      <c r="B62" s="71">
        <f>+C62</f>
        <v>14800000</v>
      </c>
      <c r="C62" s="71">
        <f>+B7</f>
        <v>14800000</v>
      </c>
      <c r="K62" s="216"/>
    </row>
    <row r="63" spans="1:12">
      <c r="A63" s="1" t="s">
        <v>216</v>
      </c>
      <c r="B63" s="71">
        <f>+C63</f>
        <v>-160000</v>
      </c>
      <c r="C63" s="71">
        <v>-160000</v>
      </c>
      <c r="K63" s="216"/>
    </row>
    <row r="64" spans="1:12">
      <c r="A64" s="222" t="s">
        <v>253</v>
      </c>
      <c r="B64" s="220">
        <f>NPV(0.095,D64:J64)</f>
        <v>6852193.8739318214</v>
      </c>
      <c r="D64" s="218">
        <f>-FV(0.095/12,12,,($B$62+$B$63)-$E$11)-($B$62+$B$63-$E$11)</f>
        <v>1059469.6013704222</v>
      </c>
      <c r="E64" s="218">
        <f>-FV(0.095/12,12,,$B$62+$B$63-$E$11+D64)-($B$62+$B$63-$E$11+D64)</f>
        <v>1164619.3997137044</v>
      </c>
      <c r="F64" s="218">
        <f>-FV(0.095/12,12,,$B$62+$B$63-$E$11+$E$64+$D$64)-($B$62+$B$63-$E$11+$E$64+$D$64)</f>
        <v>1280205.0615091622</v>
      </c>
      <c r="G64" s="218">
        <f>-FV(0.095/12,12,,$B$62+$B$63-$E$11+$E$64+$D$64+$F$64)-($B$62+$B$63-$E$11+$E$64+$D$64+$F$64)</f>
        <v>1407262.3209922239</v>
      </c>
      <c r="H64" s="218">
        <f>-FV(0.095/12,12,,$B$62+$B$63-$E$11+$E$64+$D$64+$F$64+$G$64)-($B$62+$B$63-$E$11+$E$64+$D$64+$F$64+$G$64)</f>
        <v>1546929.7065189332</v>
      </c>
      <c r="I64" s="218">
        <f>-FV(0.095/12,12,,$B$62+$B$63-$E$11+$E$64+$D$64+$F$64+$G$64+$H$64)-($B$62+$B$63-$E$11+$E$64+$D$64+$F$64+$G$64+$H$64)</f>
        <v>1700458.7426340804</v>
      </c>
      <c r="J64" s="218">
        <f>-FV(0.095/12,12,,$B$62+$B$63-$E$11+$E$64+$D$64+$F$64+$G$64+$H$64+$I$64)-($B$62+$B$63-$E$11+$E$64+$D$64+$F$64+$G$64+$H$64+$I$64)</f>
        <v>1869225.1646699384</v>
      </c>
    </row>
    <row r="65" spans="1:10">
      <c r="A65" s="222" t="s">
        <v>251</v>
      </c>
      <c r="B65" s="220">
        <f>NPV(0.095,D65:J65)</f>
        <v>14814162.578746866</v>
      </c>
      <c r="D65" s="218">
        <f t="shared" ref="D65:J65" si="12">+D92</f>
        <v>3005269</v>
      </c>
      <c r="E65" s="218">
        <f t="shared" si="12"/>
        <v>2999500.09</v>
      </c>
      <c r="F65" s="218">
        <f t="shared" si="12"/>
        <v>2992567.5327000003</v>
      </c>
      <c r="G65" s="218">
        <f t="shared" si="12"/>
        <v>2987761.0086810002</v>
      </c>
      <c r="H65" s="218">
        <f t="shared" si="12"/>
        <v>2985274.2689414304</v>
      </c>
      <c r="I65" s="218">
        <f t="shared" si="12"/>
        <v>2985118.1670096731</v>
      </c>
      <c r="J65" s="218">
        <f t="shared" si="12"/>
        <v>2986961.6920199636</v>
      </c>
    </row>
    <row r="66" spans="1:10">
      <c r="A66" s="1" t="s">
        <v>252</v>
      </c>
      <c r="B66" s="220">
        <f>NPV(0.095,D66:J66)</f>
        <v>-14443808.514278194</v>
      </c>
      <c r="D66" s="216">
        <f t="shared" ref="D66:J66" si="13">-D33</f>
        <v>-2930137.2749999999</v>
      </c>
      <c r="E66" s="216">
        <f t="shared" si="13"/>
        <v>-2924512.5877499999</v>
      </c>
      <c r="F66" s="216">
        <f t="shared" si="13"/>
        <v>-2917753.3443825003</v>
      </c>
      <c r="G66" s="216">
        <f t="shared" si="13"/>
        <v>-2913066.9834639751</v>
      </c>
      <c r="H66" s="216">
        <f t="shared" si="13"/>
        <v>-2910642.4122178946</v>
      </c>
      <c r="I66" s="216">
        <f t="shared" si="13"/>
        <v>-2910490.2128344313</v>
      </c>
      <c r="J66" s="216">
        <f t="shared" si="13"/>
        <v>-2912287.6497194646</v>
      </c>
    </row>
    <row r="67" spans="1:10">
      <c r="A67" s="1" t="s">
        <v>247</v>
      </c>
      <c r="B67" s="220">
        <f>NPV(0.095,D67:J67)+C67</f>
        <v>-8500158.6384501122</v>
      </c>
      <c r="C67" s="218">
        <f>-(C62+C63)*0.3888</f>
        <v>-5692032</v>
      </c>
      <c r="D67" s="216">
        <f>-(+D64+D65+D66)*0.3888</f>
        <v>-441132.99569282017</v>
      </c>
      <c r="E67" s="216">
        <f t="shared" ref="E67:J67" si="14">-(+E62+E63+E64+E65+E66)*0.3888</f>
        <v>-481959.1634834882</v>
      </c>
      <c r="F67" s="216">
        <f t="shared" si="14"/>
        <v>-526831.4843326062</v>
      </c>
      <c r="G67" s="216">
        <f t="shared" si="14"/>
        <v>-576184.62740615592</v>
      </c>
      <c r="H67" s="216">
        <f t="shared" si="14"/>
        <v>-630463.13578867191</v>
      </c>
      <c r="I67" s="216">
        <f t="shared" si="14"/>
        <v>-690153.70771946444</v>
      </c>
      <c r="J67" s="216">
        <f t="shared" si="14"/>
        <v>-755788.01167010597</v>
      </c>
    </row>
    <row r="68" spans="1:10">
      <c r="A68" s="1" t="s">
        <v>248</v>
      </c>
      <c r="B68" s="220">
        <f>NPV(0.095,D68:J68)</f>
        <v>-9553599.0867579915</v>
      </c>
      <c r="D68" s="216"/>
      <c r="E68" s="216"/>
      <c r="F68" s="216"/>
      <c r="G68" s="216"/>
      <c r="H68" s="216"/>
      <c r="I68" s="216"/>
      <c r="J68" s="216">
        <f>-B14</f>
        <v>-10461191</v>
      </c>
    </row>
    <row r="69" spans="1:10" ht="10.8" thickBot="1">
      <c r="A69" s="1" t="s">
        <v>211</v>
      </c>
      <c r="B69" s="276">
        <f>NPV(0.095,D69:J69)+C69</f>
        <v>7820187.9822150385</v>
      </c>
      <c r="C69" s="219">
        <f>SUM(C62:C68)</f>
        <v>8947968</v>
      </c>
      <c r="D69" s="219">
        <f>SUM(D62:D68)</f>
        <v>693468.33067760209</v>
      </c>
      <c r="E69" s="219">
        <f t="shared" ref="E69:J69" si="15">SUM(E64:E68)</f>
        <v>757647.73848021613</v>
      </c>
      <c r="F69" s="219">
        <f t="shared" si="15"/>
        <v>828187.76549405605</v>
      </c>
      <c r="G69" s="219">
        <f t="shared" si="15"/>
        <v>905771.71880309307</v>
      </c>
      <c r="H69" s="219">
        <f t="shared" si="15"/>
        <v>991098.42745379708</v>
      </c>
      <c r="I69" s="219">
        <f t="shared" si="15"/>
        <v>1084932.9890898578</v>
      </c>
      <c r="J69" s="219">
        <f t="shared" si="15"/>
        <v>-9273079.8046996687</v>
      </c>
    </row>
    <row r="70" spans="1:10" ht="11.4" thickTop="1" thickBot="1">
      <c r="A70" s="211"/>
      <c r="B70" s="220"/>
      <c r="I70" s="220"/>
    </row>
    <row r="71" spans="1:10" ht="10.8" thickBot="1">
      <c r="A71" s="244" t="s">
        <v>249</v>
      </c>
      <c r="B71" s="263" t="s">
        <v>20</v>
      </c>
      <c r="C71" s="263">
        <v>2000</v>
      </c>
      <c r="D71" s="263">
        <v>2001</v>
      </c>
      <c r="E71" s="263">
        <v>2002</v>
      </c>
      <c r="F71" s="263">
        <v>2003</v>
      </c>
      <c r="G71" s="263">
        <v>2004</v>
      </c>
      <c r="H71" s="263">
        <v>2005</v>
      </c>
      <c r="I71" s="263">
        <v>2006</v>
      </c>
      <c r="J71" s="263">
        <v>2007</v>
      </c>
    </row>
    <row r="72" spans="1:10" ht="6" customHeight="1">
      <c r="A72" s="61"/>
      <c r="B72" s="245"/>
      <c r="D72" s="245"/>
      <c r="E72" s="245"/>
      <c r="F72" s="245"/>
      <c r="G72" s="245"/>
      <c r="H72" s="245"/>
      <c r="I72" s="245"/>
      <c r="J72" s="245"/>
    </row>
    <row r="73" spans="1:10">
      <c r="A73" s="61" t="s">
        <v>219</v>
      </c>
      <c r="B73" s="247">
        <f>+C73</f>
        <v>3195407</v>
      </c>
      <c r="C73" s="247">
        <f>+C62+C63-B8</f>
        <v>3195407</v>
      </c>
      <c r="E73" s="245"/>
      <c r="F73" s="245"/>
      <c r="G73" s="245"/>
      <c r="H73" s="245"/>
      <c r="I73" s="245"/>
      <c r="J73" s="245"/>
    </row>
    <row r="74" spans="1:10" ht="4.5" customHeight="1">
      <c r="A74" s="61"/>
      <c r="B74" s="245"/>
      <c r="D74" s="245"/>
      <c r="E74" s="245"/>
      <c r="F74" s="245"/>
      <c r="G74" s="245"/>
      <c r="H74" s="245"/>
      <c r="I74" s="245"/>
      <c r="J74" s="245"/>
    </row>
    <row r="75" spans="1:10">
      <c r="A75" s="44" t="s">
        <v>215</v>
      </c>
      <c r="B75" s="216">
        <f>SUM(D75:J75)</f>
        <v>-20418890.465368267</v>
      </c>
      <c r="C75" s="1">
        <v>0</v>
      </c>
      <c r="D75" s="216">
        <f t="shared" ref="D75:J75" si="16">-D33</f>
        <v>-2930137.2749999999</v>
      </c>
      <c r="E75" s="216">
        <f t="shared" si="16"/>
        <v>-2924512.5877499999</v>
      </c>
      <c r="F75" s="216">
        <f t="shared" si="16"/>
        <v>-2917753.3443825003</v>
      </c>
      <c r="G75" s="216">
        <f t="shared" si="16"/>
        <v>-2913066.9834639751</v>
      </c>
      <c r="H75" s="216">
        <f t="shared" si="16"/>
        <v>-2910642.4122178946</v>
      </c>
      <c r="I75" s="216">
        <f t="shared" si="16"/>
        <v>-2910490.2128344313</v>
      </c>
      <c r="J75" s="216">
        <f t="shared" si="16"/>
        <v>-2912287.6497194646</v>
      </c>
    </row>
    <row r="76" spans="1:10" ht="3.75" customHeight="1"/>
    <row r="77" spans="1:10">
      <c r="A77" s="240" t="s">
        <v>218</v>
      </c>
    </row>
    <row r="78" spans="1:10">
      <c r="A78" s="1" t="s">
        <v>213</v>
      </c>
      <c r="B78" s="216">
        <f>SUM(D78:J78)</f>
        <v>1376767</v>
      </c>
      <c r="D78" s="218">
        <v>196681</v>
      </c>
      <c r="E78" s="216">
        <f t="shared" ref="E78:J79" si="17">+D78</f>
        <v>196681</v>
      </c>
      <c r="F78" s="216">
        <f t="shared" si="17"/>
        <v>196681</v>
      </c>
      <c r="G78" s="216">
        <f t="shared" si="17"/>
        <v>196681</v>
      </c>
      <c r="H78" s="216">
        <f t="shared" si="17"/>
        <v>196681</v>
      </c>
      <c r="I78" s="216">
        <f t="shared" si="17"/>
        <v>196681</v>
      </c>
      <c r="J78" s="216">
        <f t="shared" si="17"/>
        <v>196681</v>
      </c>
    </row>
    <row r="79" spans="1:10">
      <c r="A79" s="1" t="s">
        <v>214</v>
      </c>
      <c r="B79" s="216">
        <f>SUM(D79:J79)</f>
        <v>1147300</v>
      </c>
      <c r="D79" s="218">
        <v>163900</v>
      </c>
      <c r="E79" s="216">
        <f t="shared" si="17"/>
        <v>163900</v>
      </c>
      <c r="F79" s="216">
        <f t="shared" si="17"/>
        <v>163900</v>
      </c>
      <c r="G79" s="216">
        <f t="shared" si="17"/>
        <v>163900</v>
      </c>
      <c r="H79" s="216">
        <f t="shared" si="17"/>
        <v>163900</v>
      </c>
      <c r="I79" s="216">
        <f t="shared" si="17"/>
        <v>163900</v>
      </c>
      <c r="J79" s="216">
        <f t="shared" si="17"/>
        <v>163900</v>
      </c>
    </row>
    <row r="80" spans="1:10">
      <c r="A80" s="1" t="s">
        <v>36</v>
      </c>
      <c r="B80" s="241">
        <f>SUM(D80:J80)</f>
        <v>10125966.759352067</v>
      </c>
      <c r="C80" s="297"/>
      <c r="D80" s="241">
        <v>1321503</v>
      </c>
      <c r="E80" s="242">
        <f t="shared" ref="E80:J80" si="18">+E91</f>
        <v>1361148.09</v>
      </c>
      <c r="F80" s="242">
        <f t="shared" si="18"/>
        <v>1401982.5327000001</v>
      </c>
      <c r="G80" s="242">
        <f t="shared" si="18"/>
        <v>1444042.0086810002</v>
      </c>
      <c r="H80" s="242">
        <f t="shared" si="18"/>
        <v>1487363.2689414301</v>
      </c>
      <c r="I80" s="242">
        <f t="shared" si="18"/>
        <v>1531984.1670096731</v>
      </c>
      <c r="J80" s="242">
        <f t="shared" si="18"/>
        <v>1577943.6920199634</v>
      </c>
    </row>
    <row r="81" spans="1:13">
      <c r="A81" s="246" t="s">
        <v>250</v>
      </c>
      <c r="B81" s="216">
        <f>SUM(D81:J81)</f>
        <v>12650033.759352067</v>
      </c>
      <c r="C81" s="216">
        <f t="shared" ref="C81:J81" si="19">SUM(C78:C80)</f>
        <v>0</v>
      </c>
      <c r="D81" s="216">
        <f t="shared" si="19"/>
        <v>1682084</v>
      </c>
      <c r="E81" s="216">
        <f t="shared" si="19"/>
        <v>1721729.09</v>
      </c>
      <c r="F81" s="216">
        <f t="shared" si="19"/>
        <v>1762563.5327000001</v>
      </c>
      <c r="G81" s="216">
        <f t="shared" si="19"/>
        <v>1804623.0086810002</v>
      </c>
      <c r="H81" s="216">
        <f t="shared" si="19"/>
        <v>1847944.2689414301</v>
      </c>
      <c r="I81" s="216">
        <f t="shared" si="19"/>
        <v>1892565.1670096731</v>
      </c>
      <c r="J81" s="216">
        <f t="shared" si="19"/>
        <v>1938524.6920199634</v>
      </c>
    </row>
    <row r="82" spans="1:13" ht="7.5" customHeight="1">
      <c r="B82" s="297"/>
      <c r="C82" s="297"/>
      <c r="D82" s="297"/>
      <c r="E82" s="297"/>
      <c r="F82" s="297"/>
      <c r="G82" s="297"/>
      <c r="H82" s="297"/>
      <c r="I82" s="297"/>
      <c r="J82" s="297"/>
      <c r="K82" s="58"/>
      <c r="L82" s="58"/>
      <c r="M82" s="58"/>
    </row>
    <row r="83" spans="1:13">
      <c r="A83" s="44" t="s">
        <v>220</v>
      </c>
      <c r="B83" s="259">
        <f>+B73+B75+B81</f>
        <v>-4573449.7060161997</v>
      </c>
      <c r="C83" s="259">
        <f>+C73+C75+C81</f>
        <v>3195407</v>
      </c>
      <c r="D83" s="259">
        <f t="shared" ref="D83:J83" si="20">+D73+D75+D81</f>
        <v>-1248053.2749999999</v>
      </c>
      <c r="E83" s="259">
        <f t="shared" si="20"/>
        <v>-1202783.4977499999</v>
      </c>
      <c r="F83" s="259">
        <f t="shared" si="20"/>
        <v>-1155189.8116825002</v>
      </c>
      <c r="G83" s="259">
        <f t="shared" si="20"/>
        <v>-1108443.9747829749</v>
      </c>
      <c r="H83" s="259">
        <f t="shared" si="20"/>
        <v>-1062698.1432764644</v>
      </c>
      <c r="I83" s="259">
        <f t="shared" si="20"/>
        <v>-1017925.0458247582</v>
      </c>
      <c r="J83" s="259">
        <f t="shared" si="20"/>
        <v>-973762.95769950119</v>
      </c>
      <c r="K83" s="58"/>
      <c r="L83" s="58"/>
      <c r="M83" s="58"/>
    </row>
    <row r="84" spans="1:13">
      <c r="A84" s="44"/>
      <c r="B84" s="259"/>
      <c r="C84" s="259"/>
      <c r="D84" s="259"/>
      <c r="E84" s="259"/>
      <c r="F84" s="259"/>
      <c r="G84" s="259"/>
      <c r="H84" s="259"/>
      <c r="I84" s="259"/>
      <c r="J84" s="259"/>
    </row>
    <row r="85" spans="1:13" ht="12.75" customHeight="1">
      <c r="A85" s="44" t="s">
        <v>263</v>
      </c>
      <c r="B85" s="216">
        <f>SUM(D85:J85)</f>
        <v>10028169.997408465</v>
      </c>
      <c r="C85" s="298">
        <v>0</v>
      </c>
      <c r="D85" s="218">
        <f>-FV(0.095/12,12,,($E$7-$E$9-$E$11))-($E$7-$E$9-$E$11)</f>
        <v>1059469.6013704222</v>
      </c>
      <c r="E85" s="218">
        <f>-FV(0.095/12,12,,($E$7-$E$9-$E$11+$D$85))-($E$7-$E$9-$E$11+$D$85)</f>
        <v>1164619.3997137044</v>
      </c>
      <c r="F85" s="218">
        <f>-FV(0.095/12,12,,($E$7-$E$9-$E$11+$D$85+$E$85))-($E$7-$E$9-$E$11+$D$85+$E$85)</f>
        <v>1280205.0615091622</v>
      </c>
      <c r="G85" s="218">
        <f>-FV(0.095/12,12,,($E$7-$E$9-$E$11+$D$85+$E$85+$F$85))-($E$7-$E$9-$E$11+$D$85+$E$85+$F$85)</f>
        <v>1407262.3209922239</v>
      </c>
      <c r="H85" s="218">
        <f>-FV(0.095/12,12,,($E$7-$E$9-$E$11+$D$85+$E$85+$F$85+$G$85))-($E$7-$E$9-$E$11+$D$85+$E$85+$F$85+$G$85)</f>
        <v>1546929.7065189332</v>
      </c>
      <c r="I85" s="218">
        <f>-FV(0.095/12,12,,($E$7-$E$9-$E$11+$D$85+$E$85+$F$85+$G$85+$H$85))-($E$7-$E$9-$E$11+$D$85+$E$85+$F$85+$G$85+$H$85)</f>
        <v>1700458.7426340804</v>
      </c>
      <c r="J85" s="218">
        <f>-FV(0.095/12,12,,($E$7-$E$9-$E$11+$D$85+$E$85+$F$85+$G$85+$H$85+$I$85))-($E$7-$E$9-$E$11+$D$85+$E$85+$F$85+$G$85+$H$85+$I$85)</f>
        <v>1869225.1646699384</v>
      </c>
    </row>
    <row r="86" spans="1:13" ht="12.75" customHeight="1">
      <c r="A86" s="44"/>
      <c r="B86" s="216"/>
      <c r="D86" s="216"/>
      <c r="E86" s="216"/>
      <c r="F86" s="216"/>
      <c r="G86" s="216"/>
      <c r="H86" s="216"/>
      <c r="I86" s="216"/>
      <c r="J86" s="216"/>
    </row>
    <row r="87" spans="1:13" ht="10.8" thickBot="1">
      <c r="A87" s="44" t="s">
        <v>264</v>
      </c>
      <c r="B87" s="243">
        <f>+B83+B85</f>
        <v>5454720.2913922649</v>
      </c>
      <c r="C87" s="243">
        <f t="shared" ref="C87:J87" si="21">+C83+C85</f>
        <v>3195407</v>
      </c>
      <c r="D87" s="243">
        <f t="shared" si="21"/>
        <v>-188583.67362957774</v>
      </c>
      <c r="E87" s="243">
        <f t="shared" si="21"/>
        <v>-38164.098036295502</v>
      </c>
      <c r="F87" s="243">
        <f t="shared" si="21"/>
        <v>125015.24982666201</v>
      </c>
      <c r="G87" s="243">
        <f t="shared" si="21"/>
        <v>298818.34620924899</v>
      </c>
      <c r="H87" s="243">
        <f t="shared" si="21"/>
        <v>484231.56324246875</v>
      </c>
      <c r="I87" s="243">
        <f t="shared" si="21"/>
        <v>682533.69680932211</v>
      </c>
      <c r="J87" s="243">
        <f t="shared" si="21"/>
        <v>895462.2069704372</v>
      </c>
    </row>
    <row r="88" spans="1:13" ht="10.8" thickTop="1">
      <c r="B88" s="259"/>
    </row>
    <row r="89" spans="1:13">
      <c r="A89" s="231" t="s">
        <v>240</v>
      </c>
      <c r="D89" s="263">
        <v>2001</v>
      </c>
      <c r="E89" s="263">
        <v>2002</v>
      </c>
      <c r="F89" s="263">
        <v>2003</v>
      </c>
      <c r="G89" s="263">
        <v>2004</v>
      </c>
      <c r="H89" s="263">
        <v>2005</v>
      </c>
      <c r="I89" s="263">
        <v>2006</v>
      </c>
      <c r="J89" s="266">
        <v>2007</v>
      </c>
    </row>
    <row r="90" spans="1:13">
      <c r="A90" s="4" t="s">
        <v>206</v>
      </c>
      <c r="D90" s="237">
        <v>1683766</v>
      </c>
      <c r="E90" s="237">
        <v>1638352</v>
      </c>
      <c r="F90" s="237">
        <v>1590585</v>
      </c>
      <c r="G90" s="237">
        <v>1543719</v>
      </c>
      <c r="H90" s="237">
        <v>1497911</v>
      </c>
      <c r="I90" s="237">
        <v>1453134</v>
      </c>
      <c r="J90" s="237">
        <v>1409018</v>
      </c>
    </row>
    <row r="91" spans="1:13">
      <c r="A91" s="4" t="s">
        <v>36</v>
      </c>
      <c r="D91" s="294">
        <v>1321503</v>
      </c>
      <c r="E91" s="294">
        <f t="shared" ref="E91:J91" si="22">+D91*1.03</f>
        <v>1361148.09</v>
      </c>
      <c r="F91" s="294">
        <f t="shared" si="22"/>
        <v>1401982.5327000001</v>
      </c>
      <c r="G91" s="294">
        <f t="shared" si="22"/>
        <v>1444042.0086810002</v>
      </c>
      <c r="H91" s="294">
        <f t="shared" si="22"/>
        <v>1487363.2689414301</v>
      </c>
      <c r="I91" s="294">
        <f t="shared" si="22"/>
        <v>1531984.1670096731</v>
      </c>
      <c r="J91" s="294">
        <f t="shared" si="22"/>
        <v>1577943.6920199634</v>
      </c>
    </row>
    <row r="92" spans="1:13">
      <c r="A92" s="44" t="s">
        <v>209</v>
      </c>
      <c r="D92" s="293">
        <f t="shared" ref="D92:J92" si="23">SUM(D90:D91)</f>
        <v>3005269</v>
      </c>
      <c r="E92" s="293">
        <f t="shared" si="23"/>
        <v>2999500.09</v>
      </c>
      <c r="F92" s="293">
        <f t="shared" si="23"/>
        <v>2992567.5327000003</v>
      </c>
      <c r="G92" s="293">
        <f t="shared" si="23"/>
        <v>2987761.0086810002</v>
      </c>
      <c r="H92" s="293">
        <f t="shared" si="23"/>
        <v>2985274.2689414304</v>
      </c>
      <c r="I92" s="293">
        <f t="shared" si="23"/>
        <v>2985118.1670096731</v>
      </c>
      <c r="J92" s="293">
        <f t="shared" si="23"/>
        <v>2986961.6920199636</v>
      </c>
    </row>
    <row r="93" spans="1:13" ht="5.25" customHeight="1">
      <c r="A93" s="4"/>
      <c r="B93" s="4"/>
      <c r="C93" s="237"/>
      <c r="D93" s="237"/>
      <c r="E93" s="237"/>
      <c r="F93" s="237"/>
      <c r="G93" s="237"/>
      <c r="H93" s="237"/>
      <c r="I93" s="267"/>
      <c r="J93" s="238"/>
      <c r="K93" s="220"/>
      <c r="L93" s="71"/>
      <c r="M93" s="221"/>
    </row>
    <row r="94" spans="1:13">
      <c r="A94" s="44" t="s">
        <v>215</v>
      </c>
      <c r="D94" s="295">
        <f t="shared" ref="D94:J94" si="24">+D33</f>
        <v>2930137.2749999999</v>
      </c>
      <c r="E94" s="295">
        <f t="shared" si="24"/>
        <v>2924512.5877499999</v>
      </c>
      <c r="F94" s="295">
        <f t="shared" si="24"/>
        <v>2917753.3443825003</v>
      </c>
      <c r="G94" s="295">
        <f t="shared" si="24"/>
        <v>2913066.9834639751</v>
      </c>
      <c r="H94" s="295">
        <f t="shared" si="24"/>
        <v>2910642.4122178946</v>
      </c>
      <c r="I94" s="295">
        <f t="shared" si="24"/>
        <v>2910490.2128344313</v>
      </c>
      <c r="J94" s="295">
        <f t="shared" si="24"/>
        <v>2912287.6497194646</v>
      </c>
      <c r="K94" s="220"/>
      <c r="L94" s="71"/>
      <c r="M94" s="221"/>
    </row>
    <row r="95" spans="1:13" ht="5.25" customHeight="1">
      <c r="A95" s="44"/>
      <c r="D95" s="265"/>
      <c r="E95" s="265"/>
      <c r="F95" s="265"/>
      <c r="G95" s="265"/>
      <c r="H95" s="265"/>
      <c r="I95" s="265"/>
      <c r="J95" s="265"/>
      <c r="K95" s="220"/>
      <c r="L95" s="71"/>
      <c r="M95" s="221"/>
    </row>
    <row r="96" spans="1:13" ht="10.8" thickBot="1">
      <c r="A96" s="44" t="s">
        <v>262</v>
      </c>
      <c r="B96" s="4"/>
      <c r="C96" s="237"/>
      <c r="D96" s="296">
        <f>+D92-D94</f>
        <v>75131.725000000093</v>
      </c>
      <c r="E96" s="296">
        <f t="shared" ref="E96:J96" si="25">+E92-E94</f>
        <v>74987.502249999903</v>
      </c>
      <c r="F96" s="296">
        <f t="shared" si="25"/>
        <v>74814.188317500055</v>
      </c>
      <c r="G96" s="296">
        <f t="shared" si="25"/>
        <v>74694.025217025075</v>
      </c>
      <c r="H96" s="296">
        <f t="shared" si="25"/>
        <v>74631.856723535806</v>
      </c>
      <c r="I96" s="296">
        <f t="shared" si="25"/>
        <v>74627.954175241757</v>
      </c>
      <c r="J96" s="296">
        <f t="shared" si="25"/>
        <v>74674.042300499044</v>
      </c>
      <c r="K96" s="220"/>
      <c r="L96" s="71"/>
      <c r="M96" s="221"/>
    </row>
    <row r="97" spans="1:13" s="58" customFormat="1" ht="10.8" thickTop="1">
      <c r="D97" s="196"/>
      <c r="E97" s="196"/>
      <c r="F97" s="196"/>
      <c r="G97" s="196"/>
      <c r="H97" s="196"/>
      <c r="I97" s="196"/>
      <c r="J97" s="196"/>
      <c r="K97" s="196"/>
      <c r="L97" s="196"/>
      <c r="M97" s="239"/>
    </row>
    <row r="98" spans="1:13" s="58" customFormat="1" ht="10.8" thickBot="1">
      <c r="A98" s="61" t="s">
        <v>207</v>
      </c>
      <c r="B98" s="257">
        <f>+F3</f>
        <v>2.5000000000000001E-2</v>
      </c>
      <c r="D98" s="196"/>
      <c r="E98" s="196"/>
      <c r="F98" s="196"/>
      <c r="G98" s="196"/>
      <c r="H98" s="196"/>
      <c r="I98" s="196"/>
      <c r="J98" s="196"/>
      <c r="K98" s="196"/>
      <c r="L98" s="196"/>
      <c r="M98" s="239"/>
    </row>
    <row r="99" spans="1:13" ht="13.5" customHeight="1" thickBot="1">
      <c r="D99" s="299" t="s">
        <v>217</v>
      </c>
      <c r="E99" s="300"/>
      <c r="F99" s="301"/>
    </row>
    <row r="102" spans="1:13">
      <c r="B102" s="284">
        <f>+B48</f>
        <v>8.2168991853144621E-2</v>
      </c>
    </row>
  </sheetData>
  <mergeCells count="1">
    <mergeCell ref="D99:F99"/>
  </mergeCells>
  <printOptions horizontalCentered="1"/>
  <pageMargins left="0.25" right="0.25" top="0.32" bottom="0" header="0.25" footer="0"/>
  <pageSetup scale="85" orientation="landscape" horizontalDpi="300" verticalDpi="300" r:id="rId1"/>
  <headerFooter alignWithMargins="0"/>
  <rowBreaks count="1" manualBreakCount="1">
    <brk id="5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Input Sheet</vt:lpstr>
      <vt:lpstr>Model</vt:lpstr>
      <vt:lpstr>Summary</vt:lpstr>
      <vt:lpstr>Model!Print_Area</vt:lpstr>
      <vt:lpstr>Summary!Print_Area</vt:lpstr>
      <vt:lpstr>Summary!Print_Titles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2000-03-08T16:04:06Z</cp:lastPrinted>
  <dcterms:created xsi:type="dcterms:W3CDTF">1999-11-24T16:05:57Z</dcterms:created>
  <dcterms:modified xsi:type="dcterms:W3CDTF">2023-09-10T11:37:41Z</dcterms:modified>
</cp:coreProperties>
</file>