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 tabRatio="601" activeTab="2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0" fullCalcOnLoad="1"/>
</workbook>
</file>

<file path=xl/calcChain.xml><?xml version="1.0" encoding="utf-8"?>
<calcChain xmlns="http://schemas.openxmlformats.org/spreadsheetml/2006/main">
  <c r="D5" i="1" l="1"/>
  <c r="C6" i="1"/>
  <c r="C8" i="1"/>
  <c r="C9" i="1"/>
  <c r="C12" i="1"/>
  <c r="C13" i="1"/>
  <c r="C16" i="1"/>
  <c r="C17" i="1"/>
  <c r="C21" i="1"/>
  <c r="D21" i="1"/>
  <c r="C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C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G49" i="1"/>
  <c r="G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G57" i="1"/>
  <c r="G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G65" i="1"/>
  <c r="G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E87" i="1"/>
  <c r="L87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98" i="1"/>
  <c r="L98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09" i="1"/>
  <c r="L109" i="1"/>
  <c r="E112" i="1"/>
  <c r="L112" i="1"/>
  <c r="E113" i="1"/>
  <c r="L113" i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0" i="1"/>
  <c r="L120" i="1"/>
  <c r="E123" i="1"/>
  <c r="L123" i="1"/>
  <c r="E124" i="1"/>
  <c r="L124" i="1"/>
  <c r="E125" i="1"/>
  <c r="L125" i="1"/>
  <c r="E126" i="1"/>
  <c r="L126" i="1"/>
  <c r="E127" i="1"/>
  <c r="L127" i="1"/>
  <c r="E128" i="1"/>
  <c r="L128" i="1"/>
  <c r="E129" i="1"/>
  <c r="L129" i="1"/>
  <c r="E130" i="1"/>
  <c r="L130" i="1"/>
  <c r="E131" i="1"/>
  <c r="L131" i="1"/>
  <c r="A2" i="2"/>
  <c r="B3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9" i="2"/>
  <c r="B13" i="2"/>
  <c r="C13" i="2"/>
  <c r="D13" i="2"/>
  <c r="E13" i="2"/>
  <c r="A14" i="2"/>
  <c r="D14" i="2"/>
  <c r="A15" i="2"/>
  <c r="D15" i="2"/>
  <c r="A16" i="2"/>
  <c r="D16" i="2"/>
  <c r="B19" i="2"/>
  <c r="A20" i="2"/>
  <c r="B20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Y31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B49" i="2"/>
  <c r="D49" i="2"/>
  <c r="E49" i="2"/>
  <c r="F49" i="2"/>
  <c r="G49" i="2"/>
  <c r="H49" i="2"/>
  <c r="J49" i="2"/>
  <c r="K49" i="2"/>
  <c r="L49" i="2"/>
  <c r="N49" i="2"/>
  <c r="O49" i="2"/>
  <c r="P49" i="2"/>
  <c r="Q49" i="2"/>
  <c r="R49" i="2"/>
  <c r="S49" i="2"/>
  <c r="T49" i="2"/>
  <c r="U49" i="2"/>
  <c r="V49" i="2"/>
  <c r="W49" i="2"/>
  <c r="X49" i="2"/>
  <c r="Y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D54" i="2"/>
  <c r="E54" i="2"/>
  <c r="F54" i="2"/>
  <c r="G54" i="2"/>
  <c r="H54" i="2"/>
  <c r="I54" i="2"/>
  <c r="J54" i="2"/>
  <c r="K54" i="2"/>
  <c r="X54" i="2"/>
  <c r="Y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D65" i="2"/>
  <c r="E65" i="2"/>
  <c r="F65" i="2"/>
  <c r="G65" i="2"/>
  <c r="H65" i="2"/>
  <c r="I65" i="2"/>
  <c r="J65" i="2"/>
  <c r="X65" i="2"/>
  <c r="Y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C67" i="2"/>
  <c r="A68" i="2"/>
  <c r="B68" i="2"/>
  <c r="C68" i="2"/>
  <c r="J68" i="2"/>
  <c r="W71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Y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Y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W78" i="2"/>
  <c r="Y82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Y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Y86" i="2"/>
  <c r="Z86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Y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B90" i="2"/>
  <c r="D90" i="2"/>
  <c r="E90" i="2"/>
  <c r="F90" i="2"/>
  <c r="G90" i="2"/>
  <c r="H90" i="2"/>
  <c r="I90" i="2"/>
  <c r="J90" i="2"/>
  <c r="Y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Y94" i="2"/>
  <c r="D95" i="2"/>
  <c r="E95" i="2"/>
  <c r="F95" i="2"/>
  <c r="G95" i="2"/>
  <c r="H95" i="2"/>
  <c r="I95" i="2"/>
  <c r="J95" i="2"/>
  <c r="Y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Y96" i="2"/>
  <c r="B99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Y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D102" i="2"/>
  <c r="E102" i="2"/>
  <c r="F102" i="2"/>
  <c r="G102" i="2"/>
  <c r="H102" i="2"/>
  <c r="I102" i="2"/>
  <c r="J102" i="2"/>
  <c r="Y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Z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Y106" i="2"/>
  <c r="Z106" i="2"/>
  <c r="D107" i="2"/>
  <c r="E107" i="2"/>
  <c r="F107" i="2"/>
  <c r="G107" i="2"/>
  <c r="H107" i="2"/>
  <c r="I107" i="2"/>
  <c r="J107" i="2"/>
  <c r="Y107" i="2"/>
  <c r="Z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Y108" i="2"/>
  <c r="A1" i="3"/>
  <c r="A3" i="3"/>
  <c r="B3" i="3"/>
  <c r="E5" i="3"/>
  <c r="E7" i="3"/>
  <c r="E9" i="3"/>
  <c r="B10" i="3"/>
  <c r="E10" i="3"/>
  <c r="E11" i="3"/>
  <c r="B13" i="3"/>
  <c r="B14" i="3"/>
  <c r="B17" i="3"/>
  <c r="B18" i="3"/>
  <c r="C20" i="3"/>
  <c r="C21" i="3"/>
  <c r="C24" i="3"/>
  <c r="C25" i="3"/>
  <c r="B28" i="3"/>
  <c r="D28" i="3"/>
  <c r="E28" i="3"/>
  <c r="F28" i="3"/>
  <c r="G28" i="3"/>
  <c r="H28" i="3"/>
  <c r="I28" i="3"/>
  <c r="J28" i="3"/>
  <c r="B29" i="3"/>
  <c r="D29" i="3"/>
  <c r="E29" i="3"/>
  <c r="F29" i="3"/>
  <c r="G29" i="3"/>
  <c r="H29" i="3"/>
  <c r="I29" i="3"/>
  <c r="J29" i="3"/>
  <c r="B30" i="3"/>
  <c r="E30" i="3"/>
  <c r="F30" i="3"/>
  <c r="G30" i="3"/>
  <c r="H30" i="3"/>
  <c r="I30" i="3"/>
  <c r="J30" i="3"/>
  <c r="B31" i="3"/>
  <c r="D31" i="3"/>
  <c r="E31" i="3"/>
  <c r="F31" i="3"/>
  <c r="G31" i="3"/>
  <c r="H31" i="3"/>
  <c r="I31" i="3"/>
  <c r="J31" i="3"/>
  <c r="B32" i="3"/>
  <c r="D32" i="3"/>
  <c r="E32" i="3"/>
  <c r="F32" i="3"/>
  <c r="G32" i="3"/>
  <c r="H32" i="3"/>
  <c r="I32" i="3"/>
  <c r="J32" i="3"/>
  <c r="B33" i="3"/>
  <c r="D33" i="3"/>
  <c r="E33" i="3"/>
  <c r="F33" i="3"/>
  <c r="G33" i="3"/>
  <c r="H33" i="3"/>
  <c r="I33" i="3"/>
  <c r="J33" i="3"/>
  <c r="B38" i="3"/>
  <c r="C38" i="3"/>
  <c r="B39" i="3"/>
  <c r="D39" i="3"/>
  <c r="E39" i="3"/>
  <c r="F39" i="3"/>
  <c r="G39" i="3"/>
  <c r="H39" i="3"/>
  <c r="I39" i="3"/>
  <c r="J39" i="3"/>
  <c r="B40" i="3"/>
  <c r="D40" i="3"/>
  <c r="E40" i="3"/>
  <c r="F40" i="3"/>
  <c r="G40" i="3"/>
  <c r="H40" i="3"/>
  <c r="I40" i="3"/>
  <c r="J40" i="3"/>
  <c r="B41" i="3"/>
  <c r="D41" i="3"/>
  <c r="E41" i="3"/>
  <c r="F41" i="3"/>
  <c r="G41" i="3"/>
  <c r="H41" i="3"/>
  <c r="I41" i="3"/>
  <c r="J41" i="3"/>
  <c r="B42" i="3"/>
  <c r="D42" i="3"/>
  <c r="E42" i="3"/>
  <c r="F42" i="3"/>
  <c r="G42" i="3"/>
  <c r="H42" i="3"/>
  <c r="I42" i="3"/>
  <c r="J42" i="3"/>
  <c r="B43" i="3"/>
  <c r="D43" i="3"/>
  <c r="E43" i="3"/>
  <c r="F43" i="3"/>
  <c r="G43" i="3"/>
  <c r="H43" i="3"/>
  <c r="I43" i="3"/>
  <c r="J43" i="3"/>
  <c r="B44" i="3"/>
  <c r="J44" i="3"/>
  <c r="B45" i="3"/>
  <c r="C45" i="3"/>
  <c r="D45" i="3"/>
  <c r="E45" i="3"/>
  <c r="F45" i="3"/>
  <c r="G45" i="3"/>
  <c r="H45" i="3"/>
  <c r="I45" i="3"/>
  <c r="J45" i="3"/>
  <c r="B47" i="3"/>
  <c r="B48" i="3"/>
  <c r="B55" i="3"/>
  <c r="D55" i="3"/>
  <c r="E55" i="3"/>
  <c r="F55" i="3"/>
  <c r="G55" i="3"/>
  <c r="H55" i="3"/>
  <c r="I55" i="3"/>
  <c r="J55" i="3"/>
  <c r="B56" i="3"/>
  <c r="B57" i="3"/>
  <c r="D57" i="3"/>
  <c r="E57" i="3"/>
  <c r="F57" i="3"/>
  <c r="G57" i="3"/>
  <c r="H57" i="3"/>
  <c r="I57" i="3"/>
  <c r="J57" i="3"/>
  <c r="B58" i="3"/>
  <c r="D58" i="3"/>
  <c r="E58" i="3"/>
  <c r="F58" i="3"/>
  <c r="G58" i="3"/>
  <c r="H58" i="3"/>
  <c r="I58" i="3"/>
  <c r="J58" i="3"/>
  <c r="B59" i="3"/>
  <c r="C59" i="3"/>
  <c r="D59" i="3"/>
  <c r="E59" i="3"/>
  <c r="F59" i="3"/>
  <c r="G59" i="3"/>
  <c r="H59" i="3"/>
  <c r="I59" i="3"/>
  <c r="J59" i="3"/>
  <c r="B62" i="3"/>
  <c r="C62" i="3"/>
  <c r="B63" i="3"/>
  <c r="B64" i="3"/>
  <c r="D64" i="3"/>
  <c r="E64" i="3"/>
  <c r="F64" i="3"/>
  <c r="G64" i="3"/>
  <c r="H64" i="3"/>
  <c r="I64" i="3"/>
  <c r="J64" i="3"/>
  <c r="B65" i="3"/>
  <c r="D65" i="3"/>
  <c r="E65" i="3"/>
  <c r="F65" i="3"/>
  <c r="G65" i="3"/>
  <c r="H65" i="3"/>
  <c r="I65" i="3"/>
  <c r="J65" i="3"/>
  <c r="B66" i="3"/>
  <c r="D66" i="3"/>
  <c r="E66" i="3"/>
  <c r="F66" i="3"/>
  <c r="G66" i="3"/>
  <c r="H66" i="3"/>
  <c r="I66" i="3"/>
  <c r="J66" i="3"/>
  <c r="B67" i="3"/>
  <c r="C67" i="3"/>
  <c r="D67" i="3"/>
  <c r="E67" i="3"/>
  <c r="F67" i="3"/>
  <c r="G67" i="3"/>
  <c r="H67" i="3"/>
  <c r="I67" i="3"/>
  <c r="J67" i="3"/>
  <c r="B68" i="3"/>
  <c r="J68" i="3"/>
  <c r="B69" i="3"/>
  <c r="C69" i="3"/>
  <c r="D69" i="3"/>
  <c r="E69" i="3"/>
  <c r="F69" i="3"/>
  <c r="G69" i="3"/>
  <c r="H69" i="3"/>
  <c r="I69" i="3"/>
  <c r="J69" i="3"/>
  <c r="B73" i="3"/>
  <c r="C73" i="3"/>
  <c r="B75" i="3"/>
  <c r="D75" i="3"/>
  <c r="E75" i="3"/>
  <c r="F75" i="3"/>
  <c r="G75" i="3"/>
  <c r="H75" i="3"/>
  <c r="I75" i="3"/>
  <c r="J75" i="3"/>
  <c r="B78" i="3"/>
  <c r="E78" i="3"/>
  <c r="F78" i="3"/>
  <c r="G78" i="3"/>
  <c r="H78" i="3"/>
  <c r="I78" i="3"/>
  <c r="J78" i="3"/>
  <c r="B79" i="3"/>
  <c r="E79" i="3"/>
  <c r="F79" i="3"/>
  <c r="G79" i="3"/>
  <c r="H79" i="3"/>
  <c r="I79" i="3"/>
  <c r="J79" i="3"/>
  <c r="B80" i="3"/>
  <c r="E80" i="3"/>
  <c r="F80" i="3"/>
  <c r="G80" i="3"/>
  <c r="H80" i="3"/>
  <c r="I80" i="3"/>
  <c r="J80" i="3"/>
  <c r="B81" i="3"/>
  <c r="C81" i="3"/>
  <c r="D81" i="3"/>
  <c r="E81" i="3"/>
  <c r="F81" i="3"/>
  <c r="G81" i="3"/>
  <c r="H81" i="3"/>
  <c r="I81" i="3"/>
  <c r="J81" i="3"/>
  <c r="B83" i="3"/>
  <c r="C83" i="3"/>
  <c r="D83" i="3"/>
  <c r="E83" i="3"/>
  <c r="F83" i="3"/>
  <c r="G83" i="3"/>
  <c r="H83" i="3"/>
  <c r="I83" i="3"/>
  <c r="J83" i="3"/>
  <c r="B85" i="3"/>
  <c r="D85" i="3"/>
  <c r="E85" i="3"/>
  <c r="F85" i="3"/>
  <c r="G85" i="3"/>
  <c r="H85" i="3"/>
  <c r="I85" i="3"/>
  <c r="J85" i="3"/>
  <c r="B87" i="3"/>
  <c r="C87" i="3"/>
  <c r="D87" i="3"/>
  <c r="E87" i="3"/>
  <c r="F87" i="3"/>
  <c r="G87" i="3"/>
  <c r="H87" i="3"/>
  <c r="I87" i="3"/>
  <c r="J87" i="3"/>
  <c r="E91" i="3"/>
  <c r="F91" i="3"/>
  <c r="G91" i="3"/>
  <c r="H91" i="3"/>
  <c r="I91" i="3"/>
  <c r="J91" i="3"/>
  <c r="D92" i="3"/>
  <c r="E92" i="3"/>
  <c r="F92" i="3"/>
  <c r="G92" i="3"/>
  <c r="H92" i="3"/>
  <c r="I92" i="3"/>
  <c r="J92" i="3"/>
  <c r="D94" i="3"/>
  <c r="E94" i="3"/>
  <c r="F94" i="3"/>
  <c r="G94" i="3"/>
  <c r="H94" i="3"/>
  <c r="I94" i="3"/>
  <c r="J94" i="3"/>
  <c r="D96" i="3"/>
  <c r="E96" i="3"/>
  <c r="F96" i="3"/>
  <c r="G96" i="3"/>
  <c r="H96" i="3"/>
  <c r="I96" i="3"/>
  <c r="J96" i="3"/>
  <c r="B98" i="3"/>
  <c r="B102" i="3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<sst xmlns="http://schemas.openxmlformats.org/spreadsheetml/2006/main" count="449" uniqueCount="265">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</sst>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zoomScale="75" workbookViewId="0">
      <selection activeCell="C16" sqref="C16"/>
    </sheetView>
  </sheetViews>
  <sheetFormatPr defaultColWidth="9.109375" defaultRowHeight="10.199999999999999"/>
  <cols>
    <col min="1" max="1" width="7" style="1" customWidth="1"/>
    <col min="2" max="2" width="23.5546875" style="1" customWidth="1"/>
    <col min="3" max="3" width="21.44140625" style="1" customWidth="1"/>
    <col min="4" max="4" width="12.6640625" style="1" customWidth="1"/>
    <col min="5" max="5" width="15.6640625" style="1" customWidth="1"/>
    <col min="6" max="6" width="11.33203125" style="1" customWidth="1"/>
    <col min="7" max="7" width="11.5546875" style="1" customWidth="1"/>
    <col min="8" max="8" width="13.33203125" style="1" customWidth="1"/>
    <col min="9" max="9" width="11.44140625" style="1" customWidth="1"/>
    <col min="10" max="10" width="11.33203125" style="1" customWidth="1"/>
    <col min="11" max="11" width="13.109375" style="1" customWidth="1"/>
    <col min="12" max="12" width="12" style="1" customWidth="1"/>
    <col min="13" max="13" width="11.88671875" style="1" customWidth="1"/>
    <col min="14" max="16384" width="9.10937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8.2094400298710096E-2</v>
      </c>
    </row>
    <row r="13" spans="1:23">
      <c r="A13" s="46" t="s">
        <v>178</v>
      </c>
      <c r="B13" s="162">
        <v>9.5000000000000001E-2</v>
      </c>
      <c r="C13" s="185">
        <f>+Model!C68</f>
        <v>-28454.350771639729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14200000</v>
      </c>
      <c r="D21" s="187">
        <f>+Summary!B7</f>
        <v>14200000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 t="e">
        <f>SUM(D25:W25)</f>
        <v>#REF!</v>
      </c>
      <c r="D25" s="188">
        <f>+Summary!D33</f>
        <v>2809926.5150000001</v>
      </c>
      <c r="E25" s="188">
        <f>+Summary!E33</f>
        <v>2804532.58415</v>
      </c>
      <c r="F25" s="188">
        <f>+Summary!F33</f>
        <v>2798050.6430745004</v>
      </c>
      <c r="G25" s="188">
        <f>+Summary!G33</f>
        <v>2793556.5431167353</v>
      </c>
      <c r="H25" s="188">
        <f>+Summary!H33</f>
        <v>2791231.4414602374</v>
      </c>
      <c r="I25" s="188">
        <f>+Summary!I33</f>
        <v>2791085.4861540445</v>
      </c>
      <c r="J25" s="188">
        <f>+Summary!J33</f>
        <v>2792809.1820386662</v>
      </c>
      <c r="K25" s="188" t="e">
        <f>+Summary!#REF!</f>
        <v>#REF!</v>
      </c>
      <c r="L25" s="188" t="e">
        <f>+Summary!#REF!</f>
        <v>#REF!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0.8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0.8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0.8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0.8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0.8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0.8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0.8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0.8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0.8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0.8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0.8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0.8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opLeftCell="B50" zoomScale="75" workbookViewId="0">
      <selection activeCell="C68" sqref="C68"/>
    </sheetView>
  </sheetViews>
  <sheetFormatPr defaultColWidth="9.109375" defaultRowHeight="10.199999999999999"/>
  <cols>
    <col min="1" max="1" width="22.44140625" style="1" customWidth="1"/>
    <col min="2" max="2" width="15" style="1" customWidth="1"/>
    <col min="3" max="3" width="14.6640625" style="1" customWidth="1"/>
    <col min="4" max="4" width="15" style="1" customWidth="1"/>
    <col min="5" max="5" width="14.6640625" style="1" customWidth="1"/>
    <col min="6" max="8" width="12.5546875" style="1" bestFit="1" customWidth="1"/>
    <col min="9" max="9" width="14.109375" style="1" customWidth="1"/>
    <col min="10" max="10" width="13.6640625" style="1" bestFit="1" customWidth="1"/>
    <col min="11" max="12" width="12.5546875" style="1" bestFit="1" customWidth="1"/>
    <col min="13" max="13" width="15.33203125" style="1" customWidth="1"/>
    <col min="14" max="14" width="12.5546875" style="1" customWidth="1"/>
    <col min="15" max="18" width="12.5546875" style="1" hidden="1" customWidth="1"/>
    <col min="19" max="23" width="9.88671875" style="1" hidden="1" customWidth="1"/>
    <col min="24" max="24" width="17.6640625" style="1" customWidth="1"/>
    <col min="25" max="25" width="15.109375" style="1" customWidth="1"/>
    <col min="26" max="26" width="13.109375" style="1" customWidth="1"/>
    <col min="27" max="16384" width="9.10937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3.2">
      <c r="A2" s="125">
        <f>+Z36-AA36+Z37-AA37+Z52+Z54+Y75+Y76+Y77+Z86+Y89+Z105+Z106+Z107+Z42-AA42+Z43-AA43</f>
        <v>0</v>
      </c>
      <c r="D2" s="124" t="s">
        <v>177</v>
      </c>
    </row>
    <row r="3" spans="1:24" ht="15.6">
      <c r="A3" s="5" t="s">
        <v>4</v>
      </c>
      <c r="B3" s="6" t="str">
        <f>+'Input Sheet'!C1</f>
        <v>TW Compressor Monetization</v>
      </c>
    </row>
    <row r="4" spans="1:24" ht="10.8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0.8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8.2094400298710096E-2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6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14200000</v>
      </c>
      <c r="C13" s="212">
        <f>IRR(C66:W66)</f>
        <v>8.2094400298710096E-2</v>
      </c>
      <c r="D13" s="208">
        <f>+B13</f>
        <v>14200000</v>
      </c>
      <c r="E13" s="209">
        <f>NPV(0.095,C66:W66)</f>
        <v>-25985.708467251054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0.14788732394366197</v>
      </c>
      <c r="B14" s="206">
        <v>16300000</v>
      </c>
      <c r="C14" s="213" t="e">
        <f t="dataTable" ref="C14:C16" dt2D="0" dtr="0" r1="C25"/>
        <v>#DIV/0!</v>
      </c>
      <c r="D14" s="203">
        <f>+B14</f>
        <v>16300000</v>
      </c>
      <c r="E14" s="209">
        <f t="dataTable" ref="E14:E16" dt2D="0" dtr="0" r1="C25" ca="1"/>
        <v>-1195126.7928052293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0.19718309859154928</v>
      </c>
      <c r="B15" s="206">
        <v>17000000</v>
      </c>
      <c r="C15" s="212" t="e">
        <v>#DIV/0!</v>
      </c>
      <c r="D15" s="203">
        <f>+B15</f>
        <v>17000000</v>
      </c>
      <c r="E15" s="209">
        <v>-1584840.4875845544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0.25352112676056338</v>
      </c>
      <c r="B16" s="207">
        <v>17800000</v>
      </c>
      <c r="C16" s="214" t="e">
        <v>#DIV/0!</v>
      </c>
      <c r="D16" s="204">
        <f>+B16</f>
        <v>17800000</v>
      </c>
      <c r="E16" s="210">
        <v>-2030227.5673323562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3.2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12780000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12780000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1419999.9999999998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1419999.9999999998</v>
      </c>
    </row>
    <row r="25" spans="1:25">
      <c r="B25" s="1" t="s">
        <v>21</v>
      </c>
      <c r="C25" s="70">
        <f>+'Input Sheet'!D21</f>
        <v>14200000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14200000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14200000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14200000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3.2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2809926.5150000001</v>
      </c>
      <c r="E46" s="191">
        <f>+Summary!E33</f>
        <v>2804532.58415</v>
      </c>
      <c r="F46" s="191">
        <f>+Summary!F33</f>
        <v>2798050.6430745004</v>
      </c>
      <c r="G46" s="191">
        <f>+Summary!G33</f>
        <v>2793556.5431167353</v>
      </c>
      <c r="H46" s="191">
        <f>+Summary!H33</f>
        <v>2791231.4414602374</v>
      </c>
      <c r="I46" s="191">
        <f>+Summary!I33</f>
        <v>2791085.4861540445</v>
      </c>
      <c r="J46" s="191">
        <f>+Summary!J33</f>
        <v>2792809.1820386662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11360000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2809926.5150000001</v>
      </c>
      <c r="E50" s="12">
        <f t="shared" si="11"/>
        <v>2804532.58415</v>
      </c>
      <c r="F50" s="12">
        <f t="shared" si="11"/>
        <v>2798050.6430745004</v>
      </c>
      <c r="G50" s="12">
        <f t="shared" si="11"/>
        <v>2793556.5431167353</v>
      </c>
      <c r="H50" s="12">
        <f t="shared" si="11"/>
        <v>2791231.4414602374</v>
      </c>
      <c r="I50" s="12">
        <f t="shared" si="11"/>
        <v>2791085.4861540445</v>
      </c>
      <c r="J50" s="12">
        <f t="shared" si="11"/>
        <v>13254000.182038667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30042383.394994184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710000</v>
      </c>
      <c r="E52" s="16">
        <f t="shared" ref="E52:M52" si="12">+E86</f>
        <v>1349000</v>
      </c>
      <c r="F52" s="16">
        <f t="shared" si="12"/>
        <v>1214100</v>
      </c>
      <c r="G52" s="16">
        <f t="shared" si="12"/>
        <v>1093400</v>
      </c>
      <c r="H52" s="16">
        <f>+IF('Input Sheet'!G49-Model!H1&gt;=0,H86,H77)</f>
        <v>984060</v>
      </c>
      <c r="I52" s="16">
        <f t="shared" si="12"/>
        <v>884660</v>
      </c>
      <c r="J52" s="16">
        <f t="shared" si="12"/>
        <v>7964780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14200000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935496</v>
      </c>
      <c r="E54" s="9">
        <f t="shared" ref="E54:J54" si="14">+E103</f>
        <v>916073.27574539639</v>
      </c>
      <c r="F54" s="9">
        <f t="shared" si="14"/>
        <v>895228.80807535583</v>
      </c>
      <c r="G54" s="9">
        <f t="shared" si="14"/>
        <v>872858.52537186828</v>
      </c>
      <c r="H54" s="9">
        <f t="shared" si="14"/>
        <v>848850.73797448538</v>
      </c>
      <c r="I54" s="9">
        <f t="shared" si="14"/>
        <v>823085.5805396142</v>
      </c>
      <c r="J54" s="9">
        <f t="shared" si="14"/>
        <v>795434.4135805103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6087027.3412872311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2998749.12</v>
      </c>
      <c r="E56" s="12">
        <f t="shared" si="17"/>
        <v>3618326.3957453966</v>
      </c>
      <c r="F56" s="12">
        <f t="shared" si="17"/>
        <v>3462581.9280753559</v>
      </c>
      <c r="G56" s="12">
        <f>SUM(G52:G55)</f>
        <v>3319511.6453718683</v>
      </c>
      <c r="H56" s="12">
        <f t="shared" si="17"/>
        <v>3186163.8579744855</v>
      </c>
      <c r="I56" s="12">
        <f t="shared" si="17"/>
        <v>3060998.7005396141</v>
      </c>
      <c r="J56" s="12">
        <f t="shared" si="17"/>
        <v>10113467.53358051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29759799.181287233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-188822.60499999998</v>
      </c>
      <c r="E58" s="9">
        <f t="shared" si="20"/>
        <v>-813793.8115953966</v>
      </c>
      <c r="F58" s="9">
        <f t="shared" si="20"/>
        <v>-664531.28500085557</v>
      </c>
      <c r="G58" s="9">
        <f t="shared" si="20"/>
        <v>-525955.10225513298</v>
      </c>
      <c r="H58" s="9">
        <f t="shared" si="20"/>
        <v>-394932.41651424812</v>
      </c>
      <c r="I58" s="9">
        <f t="shared" si="20"/>
        <v>-269913.21438556956</v>
      </c>
      <c r="J58" s="9">
        <f t="shared" si="20"/>
        <v>3140532.6484581567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282584.21370695392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-73640.815949999989</v>
      </c>
      <c r="E59" s="9">
        <f t="shared" si="21"/>
        <v>-317379.58652220469</v>
      </c>
      <c r="F59" s="9">
        <f t="shared" si="21"/>
        <v>-259167.20115033368</v>
      </c>
      <c r="G59" s="9">
        <f t="shared" si="21"/>
        <v>-205122.48987950187</v>
      </c>
      <c r="H59" s="9">
        <f t="shared" si="21"/>
        <v>-154023.64244055678</v>
      </c>
      <c r="I59" s="9">
        <f t="shared" si="21"/>
        <v>-105266.15361037213</v>
      </c>
      <c r="J59" s="9">
        <f t="shared" si="21"/>
        <v>1224807.7328986812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110207.84334571217</v>
      </c>
    </row>
    <row r="60" spans="1:27" s="10" customFormat="1">
      <c r="A60" s="10" t="s">
        <v>43</v>
      </c>
      <c r="B60" s="11"/>
      <c r="C60" s="109"/>
      <c r="D60" s="12">
        <f>+D58-D59</f>
        <v>-115181.78904999999</v>
      </c>
      <c r="E60" s="12">
        <f t="shared" ref="E60:M60" si="23">+E58-E59</f>
        <v>-496414.22507319192</v>
      </c>
      <c r="F60" s="12">
        <f t="shared" si="23"/>
        <v>-405364.08385052189</v>
      </c>
      <c r="G60" s="12">
        <f t="shared" si="23"/>
        <v>-320832.61237563111</v>
      </c>
      <c r="H60" s="12">
        <f t="shared" si="23"/>
        <v>-240908.77407369134</v>
      </c>
      <c r="I60" s="12">
        <f t="shared" si="23"/>
        <v>-164647.06077519743</v>
      </c>
      <c r="J60" s="12">
        <f t="shared" si="23"/>
        <v>1915724.9155594755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392792.05705266609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-188822.60499999998</v>
      </c>
      <c r="E63" s="20">
        <f t="shared" ref="E63:L63" si="25">+E58</f>
        <v>-813793.8115953966</v>
      </c>
      <c r="F63" s="20">
        <f t="shared" si="25"/>
        <v>-664531.28500085557</v>
      </c>
      <c r="G63" s="20">
        <f t="shared" si="25"/>
        <v>-525955.10225513298</v>
      </c>
      <c r="H63" s="20">
        <f t="shared" si="25"/>
        <v>-394932.41651424812</v>
      </c>
      <c r="I63" s="20">
        <f t="shared" si="25"/>
        <v>-269913.21438556956</v>
      </c>
      <c r="J63" s="20">
        <f t="shared" si="25"/>
        <v>3140532.6484581567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282584.21370695392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-73640.815949999989</v>
      </c>
      <c r="E64" s="20">
        <f t="shared" ref="E64:W64" si="27">E63*$B$64</f>
        <v>-317379.58652220469</v>
      </c>
      <c r="F64" s="20">
        <f t="shared" si="27"/>
        <v>-259167.20115033368</v>
      </c>
      <c r="G64" s="20">
        <f t="shared" si="27"/>
        <v>-205122.48987950187</v>
      </c>
      <c r="H64" s="20">
        <f t="shared" si="27"/>
        <v>-154023.64244055678</v>
      </c>
      <c r="I64" s="20">
        <f t="shared" si="27"/>
        <v>-105266.15361037213</v>
      </c>
      <c r="J64" s="20">
        <f t="shared" si="27"/>
        <v>1224807.7328986812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110207.84334571217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265337.76304103294</v>
      </c>
      <c r="E65" s="20">
        <f t="shared" si="28"/>
        <v>284760.48729563656</v>
      </c>
      <c r="F65" s="20">
        <f t="shared" si="28"/>
        <v>305604.95496567711</v>
      </c>
      <c r="G65" s="20">
        <f t="shared" si="28"/>
        <v>327975.23766916466</v>
      </c>
      <c r="H65" s="20">
        <f t="shared" si="28"/>
        <v>351983.02506654756</v>
      </c>
      <c r="I65" s="20">
        <f t="shared" si="28"/>
        <v>377748.18250141875</v>
      </c>
      <c r="J65" s="20">
        <f t="shared" si="28"/>
        <v>10866590.349460522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12780000</v>
      </c>
    </row>
    <row r="66" spans="1:32" s="10" customFormat="1">
      <c r="A66" s="8" t="s">
        <v>49</v>
      </c>
      <c r="B66" s="21">
        <f>IRR(C66:J66)</f>
        <v>8.2094400298710096E-2</v>
      </c>
      <c r="C66" s="228">
        <f>-C24+B20</f>
        <v>-1419999.9999999998</v>
      </c>
      <c r="D66" s="228">
        <f>+D60+D52-D65</f>
        <v>329480.44790896703</v>
      </c>
      <c r="E66" s="228">
        <f t="shared" ref="E66:W66" si="29">+E60+E52-E65</f>
        <v>567825.28763117152</v>
      </c>
      <c r="F66" s="228">
        <f t="shared" si="29"/>
        <v>503130.96118380106</v>
      </c>
      <c r="G66" s="228">
        <f t="shared" si="29"/>
        <v>444592.14995520422</v>
      </c>
      <c r="H66" s="228">
        <f t="shared" si="29"/>
        <v>391168.2008597611</v>
      </c>
      <c r="I66" s="228">
        <f t="shared" si="29"/>
        <v>342264.75672338379</v>
      </c>
      <c r="J66" s="228">
        <f t="shared" si="29"/>
        <v>-986085.43390104547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172376.37036124337</v>
      </c>
    </row>
    <row r="67" spans="1:32" s="10" customFormat="1">
      <c r="C67" s="228">
        <f>SUM(C66:J66)</f>
        <v>172376.37036124337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-28454.350771639729</v>
      </c>
      <c r="D68" s="22"/>
      <c r="E68" s="22"/>
      <c r="F68" s="22"/>
      <c r="G68" s="22"/>
      <c r="H68" s="22"/>
      <c r="I68" s="22"/>
      <c r="J68" s="22">
        <f>+J54+J65</f>
        <v>11662024.763041032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0.8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0.8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14200000</v>
      </c>
      <c r="E77" s="20">
        <f>D77-D85</f>
        <v>13490000</v>
      </c>
      <c r="F77" s="20">
        <f t="shared" ref="F77:M77" si="32">E77-E85</f>
        <v>12141000</v>
      </c>
      <c r="G77" s="20">
        <f t="shared" si="32"/>
        <v>10926900</v>
      </c>
      <c r="H77" s="20">
        <f t="shared" si="32"/>
        <v>9833500</v>
      </c>
      <c r="I77" s="20">
        <f t="shared" si="32"/>
        <v>8849440</v>
      </c>
      <c r="J77" s="20">
        <f t="shared" si="32"/>
        <v>7964780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710000</v>
      </c>
      <c r="E85" s="20">
        <f>IF('Input Sheet'!$G$49-Model!E1&lt;=0,E77,E80*$D$77)</f>
        <v>1349000</v>
      </c>
      <c r="F85" s="20">
        <f>IF('Input Sheet'!$G$49-Model!F1&lt;=0,F77,F80*$D$77)</f>
        <v>1214100</v>
      </c>
      <c r="G85" s="20">
        <f>IF('Input Sheet'!$G$49-Model!G1&lt;=0,G77,G80*$D$77)</f>
        <v>1093400</v>
      </c>
      <c r="H85" s="20">
        <f>IF('Input Sheet'!$G$49-Model!H1&lt;=0,H77,H80*$D$77)</f>
        <v>984060</v>
      </c>
      <c r="I85" s="20">
        <f>IF('Input Sheet'!$G$49-Model!I1&lt;=0,I77,I80*$D$77)</f>
        <v>884660</v>
      </c>
      <c r="J85" s="20">
        <f>IF('Input Sheet'!$G$49-Model!J1&lt;=0,J77,J80*$D$77)</f>
        <v>7964780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14200000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710000</v>
      </c>
      <c r="E86" s="42">
        <f t="shared" si="37"/>
        <v>1349000</v>
      </c>
      <c r="F86" s="42">
        <f t="shared" si="37"/>
        <v>1214100</v>
      </c>
      <c r="G86" s="42">
        <f t="shared" si="37"/>
        <v>1093400</v>
      </c>
      <c r="H86" s="42">
        <f t="shared" si="37"/>
        <v>984060</v>
      </c>
      <c r="I86" s="42">
        <f t="shared" si="37"/>
        <v>884660</v>
      </c>
      <c r="J86" s="42">
        <f t="shared" si="37"/>
        <v>7964780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14200000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12780000</v>
      </c>
      <c r="E90" s="82">
        <f t="shared" ref="E90:J90" si="41">+D90-D107</f>
        <v>12514662.236958968</v>
      </c>
      <c r="F90" s="82">
        <f t="shared" si="41"/>
        <v>12229901.749663331</v>
      </c>
      <c r="G90" s="82">
        <f t="shared" si="41"/>
        <v>11924296.794697654</v>
      </c>
      <c r="H90" s="82">
        <f t="shared" si="41"/>
        <v>11596321.557028489</v>
      </c>
      <c r="I90" s="82">
        <f t="shared" si="41"/>
        <v>11244338.531961942</v>
      </c>
      <c r="J90" s="82">
        <f t="shared" si="41"/>
        <v>10866590.349460524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83156111.219770908</v>
      </c>
    </row>
    <row r="91" spans="1:28" s="78" customFormat="1">
      <c r="A91" s="78" t="s">
        <v>66</v>
      </c>
      <c r="B91" s="80"/>
      <c r="C91" s="82"/>
      <c r="D91" s="98">
        <f>SUM(D88:D90)</f>
        <v>12780000</v>
      </c>
      <c r="E91" s="98">
        <f t="shared" ref="E91:N91" si="42">SUM(E88:E90)</f>
        <v>12514662.236958968</v>
      </c>
      <c r="F91" s="98">
        <f t="shared" si="42"/>
        <v>12229901.749663331</v>
      </c>
      <c r="G91" s="98">
        <f t="shared" si="42"/>
        <v>11924296.794697654</v>
      </c>
      <c r="H91" s="98">
        <f t="shared" si="42"/>
        <v>11596321.557028489</v>
      </c>
      <c r="I91" s="98">
        <f t="shared" si="42"/>
        <v>11244338.531961942</v>
      </c>
      <c r="J91" s="98">
        <f t="shared" si="42"/>
        <v>10866590.349460524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83156111.219770908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1200833.7630410329</v>
      </c>
      <c r="E95" s="225">
        <f>+D95</f>
        <v>1200833.7630410329</v>
      </c>
      <c r="F95" s="225">
        <f>+E95</f>
        <v>1200833.7630410329</v>
      </c>
      <c r="G95" s="225">
        <f>+F95</f>
        <v>1200833.7630410329</v>
      </c>
      <c r="H95" s="225">
        <f>+G95</f>
        <v>1200833.7630410329</v>
      </c>
      <c r="I95" s="225">
        <f>+H95</f>
        <v>1200833.7630410329</v>
      </c>
      <c r="J95" s="225">
        <f>+I95+'Input Sheet'!D5</f>
        <v>11662024.763041032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18867027.341287229</v>
      </c>
    </row>
    <row r="96" spans="1:28">
      <c r="A96" s="1" t="s">
        <v>70</v>
      </c>
      <c r="B96" s="3"/>
      <c r="C96" s="84"/>
      <c r="D96" s="226">
        <f>SUM(D93:D95)</f>
        <v>1200833.7630410329</v>
      </c>
      <c r="E96" s="98">
        <f t="shared" ref="E96:N96" si="46">SUM(E93:E95)</f>
        <v>1200833.7630410329</v>
      </c>
      <c r="F96" s="98">
        <f t="shared" si="46"/>
        <v>1200833.7630410329</v>
      </c>
      <c r="G96" s="98">
        <f t="shared" si="46"/>
        <v>1200833.7630410329</v>
      </c>
      <c r="H96" s="98">
        <f t="shared" si="46"/>
        <v>1200833.7630410329</v>
      </c>
      <c r="I96" s="98">
        <f t="shared" si="46"/>
        <v>1200833.7630410329</v>
      </c>
      <c r="J96" s="98">
        <f t="shared" si="46"/>
        <v>11662024.763041032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18867027.341287229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935496</v>
      </c>
      <c r="E102" s="82">
        <f>+E90*$B$99</f>
        <v>916073.27574539639</v>
      </c>
      <c r="F102" s="82">
        <f>+F90*$B$99</f>
        <v>895228.80807535583</v>
      </c>
      <c r="G102" s="82">
        <f>+G90*$B$99</f>
        <v>872858.52537186828</v>
      </c>
      <c r="H102" s="82">
        <f>+H90*$B$99</f>
        <v>848850.73797448538</v>
      </c>
      <c r="I102" s="82">
        <f>+I90*$B$99</f>
        <v>823085.5805396142</v>
      </c>
      <c r="J102" s="82">
        <f>+J90*$B$99</f>
        <v>795434.4135805103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6087027.3412872311</v>
      </c>
    </row>
    <row r="103" spans="1:28" s="78" customFormat="1">
      <c r="A103" s="78" t="s">
        <v>75</v>
      </c>
      <c r="C103" s="82"/>
      <c r="D103" s="98">
        <f>SUM(D100:D102)</f>
        <v>935496</v>
      </c>
      <c r="E103" s="98">
        <f t="shared" ref="E103:N103" si="51">SUM(E100:E102)</f>
        <v>916073.27574539639</v>
      </c>
      <c r="F103" s="98">
        <f t="shared" si="51"/>
        <v>895228.80807535583</v>
      </c>
      <c r="G103" s="98">
        <f t="shared" si="51"/>
        <v>872858.52537186828</v>
      </c>
      <c r="H103" s="98">
        <f t="shared" si="51"/>
        <v>848850.73797448538</v>
      </c>
      <c r="I103" s="98">
        <f t="shared" si="51"/>
        <v>823085.5805396142</v>
      </c>
      <c r="J103" s="98">
        <f t="shared" si="51"/>
        <v>795434.4135805103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6087027.3412872311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265337.76304103294</v>
      </c>
      <c r="E107" s="225">
        <f t="shared" ref="E107:J107" si="56">+E96-E103</f>
        <v>284760.48729563656</v>
      </c>
      <c r="F107" s="225">
        <f t="shared" si="56"/>
        <v>305604.95496567711</v>
      </c>
      <c r="G107" s="225">
        <f t="shared" si="56"/>
        <v>327975.23766916466</v>
      </c>
      <c r="H107" s="225">
        <f t="shared" si="56"/>
        <v>351983.02506654756</v>
      </c>
      <c r="I107" s="225">
        <f t="shared" si="56"/>
        <v>377748.18250141875</v>
      </c>
      <c r="J107" s="225">
        <f t="shared" si="56"/>
        <v>10866590.349460522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12780000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265337.76304103294</v>
      </c>
      <c r="E108" s="98">
        <f t="shared" ref="E108:N108" si="57">SUM(E105:E107)</f>
        <v>284760.48729563656</v>
      </c>
      <c r="F108" s="98">
        <f t="shared" si="57"/>
        <v>305604.95496567711</v>
      </c>
      <c r="G108" s="98">
        <f t="shared" si="57"/>
        <v>327975.23766916466</v>
      </c>
      <c r="H108" s="98">
        <f t="shared" si="57"/>
        <v>351983.02506654756</v>
      </c>
      <c r="I108" s="98">
        <f t="shared" si="57"/>
        <v>377748.18250141875</v>
      </c>
      <c r="J108" s="98">
        <f t="shared" si="57"/>
        <v>10866590.349460522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12780000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73" workbookViewId="0">
      <selection activeCell="D85" sqref="D85"/>
    </sheetView>
  </sheetViews>
  <sheetFormatPr defaultColWidth="9.109375" defaultRowHeight="10.199999999999999"/>
  <cols>
    <col min="1" max="1" width="37.5546875" style="1" customWidth="1"/>
    <col min="2" max="2" width="14.88671875" style="1" customWidth="1"/>
    <col min="3" max="3" width="11.33203125" style="1" customWidth="1"/>
    <col min="4" max="4" width="15" style="1" customWidth="1"/>
    <col min="5" max="5" width="13.33203125" style="1" customWidth="1"/>
    <col min="6" max="8" width="12" style="1" bestFit="1" customWidth="1"/>
    <col min="9" max="9" width="12.33203125" style="1" bestFit="1" customWidth="1"/>
    <col min="10" max="10" width="12.88671875" style="1" bestFit="1" customWidth="1"/>
    <col min="11" max="12" width="12" style="1" bestFit="1" customWidth="1"/>
    <col min="13" max="13" width="12.33203125" style="1" bestFit="1" customWidth="1"/>
    <col min="14" max="16384" width="9.10937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0.8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6.5000000000000002E-2</v>
      </c>
    </row>
    <row r="4" spans="1:6" ht="4.5" customHeight="1">
      <c r="A4" s="44"/>
      <c r="B4" s="44"/>
      <c r="C4" s="44"/>
      <c r="D4" s="281"/>
      <c r="E4" s="58"/>
      <c r="F4" s="282"/>
    </row>
    <row r="5" spans="1:6" ht="10.8" thickBot="1">
      <c r="D5" s="283" t="s">
        <v>261</v>
      </c>
      <c r="E5" s="285">
        <f>+B47</f>
        <v>8.2094400298709874E-2</v>
      </c>
      <c r="F5" s="66"/>
    </row>
    <row r="7" spans="1:6">
      <c r="A7" s="44" t="s">
        <v>210</v>
      </c>
      <c r="B7" s="157">
        <v>14200000</v>
      </c>
      <c r="D7" s="44" t="s">
        <v>210</v>
      </c>
      <c r="E7" s="277">
        <f>+B7</f>
        <v>14200000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2595407</v>
      </c>
      <c r="D10" s="44" t="s">
        <v>258</v>
      </c>
      <c r="E10" s="249">
        <f>+E7-E8-E9</f>
        <v>9598002.7327999994</v>
      </c>
    </row>
    <row r="11" spans="1:6" ht="10.8" thickBot="1">
      <c r="D11" s="44" t="s">
        <v>259</v>
      </c>
      <c r="E11" s="157">
        <f>+E10*0.3888</f>
        <v>3731703.4625126394</v>
      </c>
    </row>
    <row r="12" spans="1:6" ht="10.8" thickBot="1">
      <c r="A12" s="244" t="s">
        <v>223</v>
      </c>
      <c r="B12" s="61"/>
    </row>
    <row r="13" spans="1:6">
      <c r="A13" s="44" t="s">
        <v>225</v>
      </c>
      <c r="B13" s="253">
        <f>+'Input Sheet'!D21</f>
        <v>14200000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0.8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0.8" thickBot="1">
      <c r="B18" s="160" t="str">
        <f>+Model!A24</f>
        <v>EQUITY</v>
      </c>
      <c r="C18" s="161">
        <v>0.1</v>
      </c>
    </row>
    <row r="19" spans="1:10" ht="10.8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1420000</v>
      </c>
    </row>
    <row r="21" spans="1:10">
      <c r="A21" s="44"/>
      <c r="B21" s="232" t="s">
        <v>245</v>
      </c>
      <c r="C21" s="272">
        <f>+B7-C20</f>
        <v>12780000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1200833.7630410329</v>
      </c>
    </row>
    <row r="25" spans="1:10" ht="10.8" thickBot="1">
      <c r="B25" s="234" t="s">
        <v>212</v>
      </c>
      <c r="C25" s="236">
        <f>+Model!J65</f>
        <v>10866590.349460522</v>
      </c>
    </row>
    <row r="26" spans="1:10" ht="10.8" thickBot="1"/>
    <row r="27" spans="1:10" ht="10.8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282584.21370695485</v>
      </c>
      <c r="D28" s="216">
        <f t="shared" ref="D28:J28" si="1">+D33-D29-D30-D31-D32</f>
        <v>-12938.176428571111</v>
      </c>
      <c r="E28" s="216">
        <f t="shared" si="1"/>
        <v>1090.6169760323828</v>
      </c>
      <c r="F28" s="216">
        <f t="shared" si="1"/>
        <v>15453.143570573302</v>
      </c>
      <c r="G28" s="216">
        <f t="shared" si="1"/>
        <v>33329.326316295774</v>
      </c>
      <c r="H28" s="216">
        <f t="shared" si="1"/>
        <v>55012.012057180749</v>
      </c>
      <c r="I28" s="216">
        <f t="shared" si="1"/>
        <v>80631.214185859077</v>
      </c>
      <c r="J28" s="216">
        <f t="shared" si="1"/>
        <v>110006.07702958467</v>
      </c>
    </row>
    <row r="29" spans="1:10">
      <c r="A29" s="1" t="s">
        <v>213</v>
      </c>
      <c r="B29" s="216">
        <f t="shared" si="0"/>
        <v>3738809</v>
      </c>
      <c r="D29" s="218">
        <f>(B7-B14)/7</f>
        <v>534115.57142857148</v>
      </c>
      <c r="E29" s="218">
        <f t="shared" ref="E29:J30" si="2">+D29</f>
        <v>534115.57142857148</v>
      </c>
      <c r="F29" s="218">
        <f t="shared" si="2"/>
        <v>534115.57142857148</v>
      </c>
      <c r="G29" s="218">
        <f t="shared" si="2"/>
        <v>534115.57142857148</v>
      </c>
      <c r="H29" s="218">
        <f t="shared" si="2"/>
        <v>534115.57142857148</v>
      </c>
      <c r="I29" s="218">
        <f t="shared" si="2"/>
        <v>534115.57142857148</v>
      </c>
      <c r="J29" s="218">
        <f t="shared" si="2"/>
        <v>534115.57142857148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6087027.3412872311</v>
      </c>
      <c r="D32" s="255">
        <f>+Model!D54</f>
        <v>935496</v>
      </c>
      <c r="E32" s="255">
        <f>+Model!E54</f>
        <v>916073.27574539639</v>
      </c>
      <c r="F32" s="255">
        <f>+Model!F54</f>
        <v>895228.80807535583</v>
      </c>
      <c r="G32" s="255">
        <f>+Model!G54</f>
        <v>872858.52537186828</v>
      </c>
      <c r="H32" s="255">
        <f>+Model!H54</f>
        <v>848850.73797448538</v>
      </c>
      <c r="I32" s="255">
        <f>+Model!I54</f>
        <v>823085.5805396142</v>
      </c>
      <c r="J32" s="255">
        <f>+Model!J54</f>
        <v>795434.4135805103</v>
      </c>
    </row>
    <row r="33" spans="1:10" ht="10.8" thickBot="1">
      <c r="A33" s="44" t="s">
        <v>208</v>
      </c>
      <c r="B33" s="243">
        <f t="shared" si="0"/>
        <v>19581192.394994181</v>
      </c>
      <c r="D33" s="256">
        <f t="shared" ref="D33:J33" si="3">+D92*(1-$B$98)</f>
        <v>2809926.5150000001</v>
      </c>
      <c r="E33" s="256">
        <f t="shared" si="3"/>
        <v>2804532.58415</v>
      </c>
      <c r="F33" s="256">
        <f t="shared" si="3"/>
        <v>2798050.6430745004</v>
      </c>
      <c r="G33" s="256">
        <f t="shared" si="3"/>
        <v>2793556.5431167353</v>
      </c>
      <c r="H33" s="256">
        <f t="shared" si="3"/>
        <v>2791231.4414602374</v>
      </c>
      <c r="I33" s="256">
        <f t="shared" si="3"/>
        <v>2791085.4861540445</v>
      </c>
      <c r="J33" s="256">
        <f t="shared" si="3"/>
        <v>2792809.1820386662</v>
      </c>
    </row>
    <row r="34" spans="1:10" ht="10.8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0.8" thickBot="1">
      <c r="A36" s="215"/>
      <c r="B36" s="61"/>
      <c r="C36" s="58"/>
      <c r="D36" s="58"/>
      <c r="E36" s="58"/>
      <c r="F36" s="58"/>
      <c r="G36" s="58"/>
    </row>
    <row r="37" spans="1:10" ht="10.8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-1419999.9999999998</v>
      </c>
      <c r="C38" s="196">
        <f>+Model!C66</f>
        <v>-1419999.9999999998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13851242.011128321</v>
      </c>
      <c r="C39" s="196"/>
      <c r="D39" s="259">
        <f t="shared" ref="D39:J39" si="5">+D33</f>
        <v>2809926.5150000001</v>
      </c>
      <c r="E39" s="259">
        <f t="shared" si="5"/>
        <v>2804532.58415</v>
      </c>
      <c r="F39" s="259">
        <f t="shared" si="5"/>
        <v>2798050.6430745004</v>
      </c>
      <c r="G39" s="259">
        <f t="shared" si="5"/>
        <v>2793556.5431167353</v>
      </c>
      <c r="H39" s="259">
        <f t="shared" si="5"/>
        <v>2791231.4414602374</v>
      </c>
      <c r="I39" s="259">
        <f t="shared" si="5"/>
        <v>2791085.4861540445</v>
      </c>
      <c r="J39" s="259">
        <f t="shared" si="5"/>
        <v>2792809.1820386662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-11485862.779884631</v>
      </c>
      <c r="C42" s="61"/>
      <c r="D42" s="259">
        <f>-Model!D96</f>
        <v>-1200833.7630410329</v>
      </c>
      <c r="E42" s="259">
        <f>-Model!E96</f>
        <v>-1200833.7630410329</v>
      </c>
      <c r="F42" s="259">
        <f>-Model!F96</f>
        <v>-1200833.7630410329</v>
      </c>
      <c r="G42" s="259">
        <f>-Model!G96</f>
        <v>-1200833.7630410329</v>
      </c>
      <c r="H42" s="259">
        <f>-Model!H96</f>
        <v>-1200833.7630410329</v>
      </c>
      <c r="I42" s="259">
        <f>-Model!I96</f>
        <v>-1200833.7630410329</v>
      </c>
      <c r="J42" s="259">
        <f>-Model!J96</f>
        <v>-11662024.763041032</v>
      </c>
    </row>
    <row r="43" spans="1:10">
      <c r="A43" s="215" t="s">
        <v>236</v>
      </c>
      <c r="B43" s="291">
        <f t="shared" si="4"/>
        <v>182043.27345808881</v>
      </c>
      <c r="C43" s="61"/>
      <c r="D43" s="260">
        <f>-Model!D64</f>
        <v>73640.815949999989</v>
      </c>
      <c r="E43" s="260">
        <f>-Model!E64</f>
        <v>317379.58652220469</v>
      </c>
      <c r="F43" s="260">
        <f>-Model!F64</f>
        <v>259167.20115033368</v>
      </c>
      <c r="G43" s="260">
        <f>-Model!G64</f>
        <v>205122.48987950187</v>
      </c>
      <c r="H43" s="260">
        <f>-Model!H64</f>
        <v>154023.64244055678</v>
      </c>
      <c r="I43" s="260">
        <f>-Model!I64</f>
        <v>105266.15361037213</v>
      </c>
      <c r="J43" s="260">
        <f>-Model!J64</f>
        <v>-1224807.7328986812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0.8" thickBot="1">
      <c r="A45" s="148" t="s">
        <v>211</v>
      </c>
      <c r="B45" s="292">
        <f>NPV(0.095,D45:J45)+C45</f>
        <v>-28454.350771639962</v>
      </c>
      <c r="C45" s="264">
        <f>SUM(C38:C44)</f>
        <v>-1419999.9999999998</v>
      </c>
      <c r="D45" s="264">
        <f t="shared" ref="D45:J45" si="7">SUM(D38:D44)</f>
        <v>329480.44790896727</v>
      </c>
      <c r="E45" s="264">
        <f t="shared" si="7"/>
        <v>567825.28763117187</v>
      </c>
      <c r="F45" s="264">
        <f t="shared" si="7"/>
        <v>503130.96118380124</v>
      </c>
      <c r="G45" s="264">
        <f t="shared" si="7"/>
        <v>444592.14995520434</v>
      </c>
      <c r="H45" s="264">
        <f t="shared" si="7"/>
        <v>391168.20085976133</v>
      </c>
      <c r="I45" s="264">
        <f t="shared" si="7"/>
        <v>342264.75672338379</v>
      </c>
      <c r="J45" s="264">
        <f t="shared" si="7"/>
        <v>-986085.43390104733</v>
      </c>
    </row>
    <row r="46" spans="1:10" ht="10.8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0.8" thickBot="1">
      <c r="A47" s="215" t="s">
        <v>239</v>
      </c>
      <c r="B47" s="268">
        <f>IRR(C45:J45)</f>
        <v>8.2094400298709874E-2</v>
      </c>
      <c r="C47" s="58"/>
      <c r="D47" s="58"/>
      <c r="E47" s="58"/>
      <c r="F47" s="58"/>
      <c r="G47" s="58"/>
      <c r="I47" s="183"/>
    </row>
    <row r="48" spans="1:10" ht="10.8" thickBot="1">
      <c r="A48" s="215" t="s">
        <v>239</v>
      </c>
      <c r="B48" s="268">
        <f>+Model!B9</f>
        <v>8.2094400298710096E-2</v>
      </c>
    </row>
    <row r="50" spans="1:12" ht="12.75" customHeight="1" thickBot="1">
      <c r="C50" s="221"/>
    </row>
    <row r="51" spans="1:12" ht="10.8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0.8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0.8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0.8" thickTop="1"/>
    <row r="61" spans="1:12" ht="10.8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14200000</v>
      </c>
      <c r="C62" s="71">
        <f>+B7</f>
        <v>14200000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6616799.7151851822</v>
      </c>
      <c r="D64" s="218">
        <f>-FV(0.095/12,12,,($B$62+$B$63)-$E$11)-($B$62+$B$63-$E$11)</f>
        <v>1023073.5273362342</v>
      </c>
      <c r="E64" s="218">
        <f>-FV(0.095/12,12,,$B$62+$B$63-$E$11+D64)-($B$62+$B$63-$E$11+D64)</f>
        <v>1124611.10326159</v>
      </c>
      <c r="F64" s="218">
        <f>-FV(0.095/12,12,,$B$62+$B$63-$E$11+$E$64+$D$64)-($B$62+$B$63-$E$11+$E$64+$D$64)</f>
        <v>1236226.0382909793</v>
      </c>
      <c r="G64" s="218">
        <f>-FV(0.095/12,12,,$B$62+$B$63-$E$11+$E$64+$D$64+$F$64)-($B$62+$B$63-$E$11+$E$64+$D$64+$F$64)</f>
        <v>1358918.4859693944</v>
      </c>
      <c r="H64" s="218">
        <f>-FV(0.095/12,12,,$B$62+$B$63-$E$11+$E$64+$D$64+$F$64+$G$64)-($B$62+$B$63-$E$11+$E$64+$D$64+$F$64+$G$64)</f>
        <v>1493787.8626648765</v>
      </c>
      <c r="I64" s="218">
        <f>-FV(0.095/12,12,,$B$62+$B$63-$E$11+$E$64+$D$64+$F$64+$G$64+$H$64)-($B$62+$B$63-$E$11+$E$64+$D$64+$F$64+$G$64+$H$64)</f>
        <v>1642042.699163897</v>
      </c>
      <c r="J64" s="218">
        <f>-FV(0.095/12,12,,$B$62+$B$63-$E$11+$E$64+$D$64+$F$64+$G$64+$H$64+$I$64)-($B$62+$B$63-$E$11+$E$64+$D$64+$F$64+$G$64+$H$64+$I$64)</f>
        <v>1805011.4700137712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-13851242.011128321</v>
      </c>
      <c r="D66" s="216">
        <f t="shared" ref="D66:J66" si="13">-D33</f>
        <v>-2809926.5150000001</v>
      </c>
      <c r="E66" s="216">
        <f t="shared" si="13"/>
        <v>-2804532.58415</v>
      </c>
      <c r="F66" s="216">
        <f t="shared" si="13"/>
        <v>-2798050.6430745004</v>
      </c>
      <c r="G66" s="216">
        <f t="shared" si="13"/>
        <v>-2793556.5431167353</v>
      </c>
      <c r="H66" s="216">
        <f t="shared" si="13"/>
        <v>-2791231.4414602374</v>
      </c>
      <c r="I66" s="216">
        <f t="shared" si="13"/>
        <v>-2791085.4861540445</v>
      </c>
      <c r="J66" s="216">
        <f t="shared" si="13"/>
        <v>-2792809.1820386662</v>
      </c>
    </row>
    <row r="67" spans="1:10">
      <c r="A67" s="1" t="s">
        <v>247</v>
      </c>
      <c r="B67" s="220">
        <f>NPV(0.095,D67:J67)+C67</f>
        <v>-8405747.2459540889</v>
      </c>
      <c r="C67" s="218">
        <f>-(C62+C63)*0.3888</f>
        <v>-5458752</v>
      </c>
      <c r="D67" s="216">
        <f>-(+D64+D65+D66)*0.3888</f>
        <v>-473720.14559632778</v>
      </c>
      <c r="E67" s="216">
        <f t="shared" ref="E67:J67" si="14">-(+E62+E63+E64+E65+E66)*0.3888</f>
        <v>-513052.1632225861</v>
      </c>
      <c r="F67" s="216">
        <f t="shared" si="14"/>
        <v>-556272.85037392715</v>
      </c>
      <c r="G67" s="216">
        <f t="shared" si="14"/>
        <v>-603854.20355628675</v>
      </c>
      <c r="H67" s="216">
        <f t="shared" si="14"/>
        <v>-656228.57232879184</v>
      </c>
      <c r="I67" s="216">
        <f t="shared" si="14"/>
        <v>-713866.10775159148</v>
      </c>
      <c r="J67" s="216">
        <f t="shared" si="14"/>
        <v>-777274.95542208268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0.8" thickBot="1">
      <c r="A69" s="1" t="s">
        <v>211</v>
      </c>
      <c r="B69" s="276">
        <f>NPV(0.095,D69:J69)+C69</f>
        <v>7671771.7191142943</v>
      </c>
      <c r="C69" s="219">
        <f>SUM(C62:C68)</f>
        <v>8581248</v>
      </c>
      <c r="D69" s="219">
        <f>SUM(D62:D68)</f>
        <v>744695.86673990637</v>
      </c>
      <c r="E69" s="219">
        <f t="shared" ref="E69:J69" si="15">SUM(E64:E68)</f>
        <v>806526.44588900381</v>
      </c>
      <c r="F69" s="219">
        <f t="shared" si="15"/>
        <v>874470.07754255214</v>
      </c>
      <c r="G69" s="219">
        <f t="shared" si="15"/>
        <v>949268.74797737261</v>
      </c>
      <c r="H69" s="219">
        <f t="shared" si="15"/>
        <v>1031602.1178172777</v>
      </c>
      <c r="I69" s="219">
        <f t="shared" si="15"/>
        <v>1122209.2722679339</v>
      </c>
      <c r="J69" s="219">
        <f t="shared" si="15"/>
        <v>-9239301.9754270148</v>
      </c>
    </row>
    <row r="70" spans="1:10" ht="11.4" thickTop="1" thickBot="1">
      <c r="A70" s="211"/>
      <c r="B70" s="220"/>
      <c r="I70" s="220"/>
    </row>
    <row r="71" spans="1:10" ht="10.8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2595407</v>
      </c>
      <c r="C73" s="247">
        <f>+C62+C63-B8</f>
        <v>2595407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-19581192.394994181</v>
      </c>
      <c r="C75" s="1">
        <v>0</v>
      </c>
      <c r="D75" s="216">
        <f t="shared" ref="D75:J75" si="16">-D33</f>
        <v>-2809926.5150000001</v>
      </c>
      <c r="E75" s="216">
        <f t="shared" si="16"/>
        <v>-2804532.58415</v>
      </c>
      <c r="F75" s="216">
        <f t="shared" si="16"/>
        <v>-2798050.6430745004</v>
      </c>
      <c r="G75" s="216">
        <f t="shared" si="16"/>
        <v>-2793556.5431167353</v>
      </c>
      <c r="H75" s="216">
        <f t="shared" si="16"/>
        <v>-2791231.4414602374</v>
      </c>
      <c r="I75" s="216">
        <f t="shared" si="16"/>
        <v>-2791085.4861540445</v>
      </c>
      <c r="J75" s="216">
        <f t="shared" si="16"/>
        <v>-2792809.1820386662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-4335751.6356421132</v>
      </c>
      <c r="C83" s="259">
        <f>+C73+C75+C81</f>
        <v>2595407</v>
      </c>
      <c r="D83" s="259">
        <f t="shared" ref="D83:J83" si="20">+D73+D75+D81</f>
        <v>-1127842.5150000001</v>
      </c>
      <c r="E83" s="259">
        <f t="shared" si="20"/>
        <v>-1082803.4941499999</v>
      </c>
      <c r="F83" s="259">
        <f t="shared" si="20"/>
        <v>-1035487.1103745003</v>
      </c>
      <c r="G83" s="259">
        <f t="shared" si="20"/>
        <v>-988933.53443573508</v>
      </c>
      <c r="H83" s="259">
        <f t="shared" si="20"/>
        <v>-943287.17251880723</v>
      </c>
      <c r="I83" s="259">
        <f t="shared" si="20"/>
        <v>-898520.31914437143</v>
      </c>
      <c r="J83" s="259">
        <f t="shared" si="20"/>
        <v>-854284.49001870281</v>
      </c>
      <c r="K83" s="58"/>
      <c r="L83" s="58"/>
      <c r="M83" s="58"/>
    </row>
    <row r="84" spans="1:13" ht="6.75" customHeight="1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9683671.1867007427</v>
      </c>
      <c r="C85" s="298">
        <v>0</v>
      </c>
      <c r="D85" s="216">
        <f>+D64</f>
        <v>1023073.5273362342</v>
      </c>
      <c r="E85" s="216">
        <f t="shared" ref="E85:J85" si="21">+E64</f>
        <v>1124611.10326159</v>
      </c>
      <c r="F85" s="216">
        <f t="shared" si="21"/>
        <v>1236226.0382909793</v>
      </c>
      <c r="G85" s="216">
        <f t="shared" si="21"/>
        <v>1358918.4859693944</v>
      </c>
      <c r="H85" s="216">
        <f t="shared" si="21"/>
        <v>1493787.8626648765</v>
      </c>
      <c r="I85" s="216">
        <f t="shared" si="21"/>
        <v>1642042.699163897</v>
      </c>
      <c r="J85" s="216">
        <f t="shared" si="21"/>
        <v>1805011.4700137712</v>
      </c>
    </row>
    <row r="86" spans="1:13" ht="6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0.8" thickBot="1">
      <c r="A87" s="44" t="s">
        <v>264</v>
      </c>
      <c r="B87" s="243">
        <f>+B83+B85</f>
        <v>5347919.5510586295</v>
      </c>
      <c r="C87" s="243">
        <f t="shared" ref="C87:J87" si="22">+C83+C85</f>
        <v>2595407</v>
      </c>
      <c r="D87" s="243">
        <f t="shared" si="22"/>
        <v>-104768.9876637659</v>
      </c>
      <c r="E87" s="243">
        <f t="shared" si="22"/>
        <v>41807.609111590078</v>
      </c>
      <c r="F87" s="243">
        <f t="shared" si="22"/>
        <v>200738.92791647906</v>
      </c>
      <c r="G87" s="243">
        <f t="shared" si="22"/>
        <v>369984.95153365936</v>
      </c>
      <c r="H87" s="243">
        <f t="shared" si="22"/>
        <v>550500.69014606928</v>
      </c>
      <c r="I87" s="243">
        <f t="shared" si="22"/>
        <v>743522.38001952553</v>
      </c>
      <c r="J87" s="243">
        <f t="shared" si="22"/>
        <v>950726.9799950684</v>
      </c>
    </row>
    <row r="88" spans="1:13" ht="10.8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3">+D91*1.03</f>
        <v>1361148.09</v>
      </c>
      <c r="F91" s="294">
        <f t="shared" si="23"/>
        <v>1401982.5327000001</v>
      </c>
      <c r="G91" s="294">
        <f t="shared" si="23"/>
        <v>1444042.0086810002</v>
      </c>
      <c r="H91" s="294">
        <f t="shared" si="23"/>
        <v>1487363.2689414301</v>
      </c>
      <c r="I91" s="294">
        <f t="shared" si="23"/>
        <v>1531984.1670096731</v>
      </c>
      <c r="J91" s="294">
        <f t="shared" si="23"/>
        <v>1577943.6920199634</v>
      </c>
    </row>
    <row r="92" spans="1:13">
      <c r="A92" s="44" t="s">
        <v>209</v>
      </c>
      <c r="D92" s="293">
        <f t="shared" ref="D92:J92" si="24">SUM(D90:D91)</f>
        <v>3005269</v>
      </c>
      <c r="E92" s="293">
        <f t="shared" si="24"/>
        <v>2999500.09</v>
      </c>
      <c r="F92" s="293">
        <f t="shared" si="24"/>
        <v>2992567.5327000003</v>
      </c>
      <c r="G92" s="293">
        <f t="shared" si="24"/>
        <v>2987761.0086810002</v>
      </c>
      <c r="H92" s="293">
        <f t="shared" si="24"/>
        <v>2985274.2689414304</v>
      </c>
      <c r="I92" s="293">
        <f t="shared" si="24"/>
        <v>2985118.1670096731</v>
      </c>
      <c r="J92" s="293">
        <f t="shared" si="24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5">+D33</f>
        <v>2809926.5150000001</v>
      </c>
      <c r="E94" s="295">
        <f t="shared" si="25"/>
        <v>2804532.58415</v>
      </c>
      <c r="F94" s="295">
        <f t="shared" si="25"/>
        <v>2798050.6430745004</v>
      </c>
      <c r="G94" s="295">
        <f t="shared" si="25"/>
        <v>2793556.5431167353</v>
      </c>
      <c r="H94" s="295">
        <f t="shared" si="25"/>
        <v>2791231.4414602374</v>
      </c>
      <c r="I94" s="295">
        <f t="shared" si="25"/>
        <v>2791085.4861540445</v>
      </c>
      <c r="J94" s="295">
        <f t="shared" si="25"/>
        <v>2792809.1820386662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0.8" thickBot="1">
      <c r="A96" s="44" t="s">
        <v>262</v>
      </c>
      <c r="B96" s="4"/>
      <c r="C96" s="237"/>
      <c r="D96" s="296">
        <f>+D92-D94</f>
        <v>195342.48499999987</v>
      </c>
      <c r="E96" s="296">
        <f t="shared" ref="E96:J96" si="26">+E92-E94</f>
        <v>194967.50584999984</v>
      </c>
      <c r="F96" s="296">
        <f t="shared" si="26"/>
        <v>194516.88962549996</v>
      </c>
      <c r="G96" s="296">
        <f t="shared" si="26"/>
        <v>194204.46556426492</v>
      </c>
      <c r="H96" s="296">
        <f t="shared" si="26"/>
        <v>194042.827481193</v>
      </c>
      <c r="I96" s="296">
        <f t="shared" si="26"/>
        <v>194032.68085562857</v>
      </c>
      <c r="J96" s="296">
        <f t="shared" si="26"/>
        <v>194152.50998129742</v>
      </c>
      <c r="K96" s="220"/>
      <c r="L96" s="71"/>
      <c r="M96" s="221"/>
    </row>
    <row r="97" spans="1:13" s="58" customFormat="1" ht="10.8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0.8" thickBot="1">
      <c r="A98" s="61" t="s">
        <v>207</v>
      </c>
      <c r="B98" s="257">
        <f>+F3</f>
        <v>6.5000000000000002E-2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8.2094400298710096E-2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2000-03-08T16:03:57Z</cp:lastPrinted>
  <dcterms:created xsi:type="dcterms:W3CDTF">1999-11-24T16:05:57Z</dcterms:created>
  <dcterms:modified xsi:type="dcterms:W3CDTF">2023-09-10T11:37:42Z</dcterms:modified>
</cp:coreProperties>
</file>