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80" windowWidth="8880" windowHeight="4560" tabRatio="183"/>
  </bookViews>
  <sheets>
    <sheet name="Summary" sheetId="1" r:id="rId1"/>
    <sheet name="Avista_1" sheetId="2" r:id="rId2"/>
    <sheet name="Sempra_1" sheetId="3" r:id="rId3"/>
    <sheet name="Avista_2" sheetId="4" r:id="rId4"/>
    <sheet name="Sempra_2" sheetId="5" r:id="rId5"/>
    <sheet name="Sempra_2.1" sheetId="6" r:id="rId6"/>
    <sheet name="RMTC_2" sheetId="7" r:id="rId7"/>
    <sheet name="Elpaso_6" sheetId="9" r:id="rId8"/>
    <sheet name="MEC_8" sheetId="10" r:id="rId9"/>
    <sheet name="Open Positions (2)" sheetId="8" r:id="rId10"/>
  </sheets>
  <externalReferences>
    <externalReference r:id="rId11"/>
  </externalReferences>
  <definedNames>
    <definedName name="_xlnm.Print_Area" localSheetId="1">Avista_1!$A$1:$K$41</definedName>
    <definedName name="_xlnm.Print_Area" localSheetId="3">Avista_2!$A$1:$K$46</definedName>
    <definedName name="_xlnm.Print_Area" localSheetId="2">Sempra_1!$A$1:$K$44</definedName>
    <definedName name="_xlnm.Print_Area" localSheetId="0">Summary!$A$1:$Q$72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K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K42" i="4"/>
  <c r="F43" i="4"/>
  <c r="I43" i="4"/>
  <c r="J43" i="4"/>
  <c r="K43" i="4"/>
  <c r="L43" i="4"/>
  <c r="F45" i="4"/>
  <c r="I45" i="4"/>
  <c r="J45" i="4"/>
  <c r="K45" i="4"/>
  <c r="L45" i="4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F25" i="9"/>
  <c r="I25" i="9"/>
  <c r="K25" i="9"/>
  <c r="I9" i="10"/>
  <c r="J9" i="10"/>
  <c r="I10" i="10"/>
  <c r="K10" i="10"/>
  <c r="H11" i="10"/>
  <c r="I11" i="10"/>
  <c r="K11" i="10"/>
  <c r="H12" i="10"/>
  <c r="I12" i="10"/>
  <c r="K12" i="10"/>
  <c r="H13" i="10"/>
  <c r="I13" i="10"/>
  <c r="K13" i="10"/>
  <c r="H14" i="10"/>
  <c r="I14" i="10"/>
  <c r="K14" i="10"/>
  <c r="F15" i="10"/>
  <c r="I15" i="10"/>
  <c r="J15" i="10"/>
  <c r="K15" i="10"/>
  <c r="I20" i="10"/>
  <c r="J20" i="10"/>
  <c r="I21" i="10"/>
  <c r="K21" i="10"/>
  <c r="H22" i="10"/>
  <c r="I22" i="10"/>
  <c r="K22" i="10"/>
  <c r="H23" i="10"/>
  <c r="I23" i="10"/>
  <c r="K23" i="10"/>
  <c r="H24" i="10"/>
  <c r="I24" i="10"/>
  <c r="K24" i="10"/>
  <c r="H25" i="10"/>
  <c r="I25" i="10"/>
  <c r="K25" i="10"/>
  <c r="F26" i="10"/>
  <c r="I26" i="10"/>
  <c r="J26" i="10"/>
  <c r="K26" i="10"/>
  <c r="F28" i="10"/>
  <c r="I28" i="10"/>
  <c r="J28" i="10"/>
  <c r="K28" i="10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B11" i="8"/>
  <c r="B16" i="8"/>
  <c r="B26" i="8"/>
  <c r="B36" i="8"/>
  <c r="B80" i="8"/>
  <c r="B84" i="8"/>
  <c r="B92" i="8"/>
  <c r="B118" i="8"/>
  <c r="B122" i="8"/>
  <c r="B126" i="8"/>
  <c r="B130" i="8"/>
  <c r="B134" i="8"/>
  <c r="B154" i="8"/>
  <c r="B165" i="8"/>
  <c r="B169" i="8"/>
  <c r="B177" i="8"/>
  <c r="B203" i="8"/>
  <c r="B207" i="8"/>
  <c r="B211" i="8"/>
  <c r="B219" i="8"/>
  <c r="B236" i="8"/>
  <c r="B239" i="8"/>
  <c r="B242" i="8"/>
  <c r="B245" i="8"/>
  <c r="B251" i="8"/>
  <c r="B271" i="8"/>
  <c r="B274" i="8"/>
  <c r="F9" i="7"/>
  <c r="H9" i="7"/>
  <c r="I9" i="7"/>
  <c r="K9" i="7"/>
  <c r="F10" i="7"/>
  <c r="H10" i="7"/>
  <c r="I10" i="7"/>
  <c r="K10" i="7"/>
  <c r="F11" i="7"/>
  <c r="H11" i="7"/>
  <c r="I11" i="7"/>
  <c r="K11" i="7"/>
  <c r="F12" i="7"/>
  <c r="H12" i="7"/>
  <c r="I12" i="7"/>
  <c r="K12" i="7"/>
  <c r="F13" i="7"/>
  <c r="H13" i="7"/>
  <c r="I13" i="7"/>
  <c r="K13" i="7"/>
  <c r="F14" i="7"/>
  <c r="H14" i="7"/>
  <c r="I14" i="7"/>
  <c r="K14" i="7"/>
  <c r="F15" i="7"/>
  <c r="H15" i="7"/>
  <c r="I15" i="7"/>
  <c r="K15" i="7"/>
  <c r="F16" i="7"/>
  <c r="H16" i="7"/>
  <c r="I16" i="7"/>
  <c r="K16" i="7"/>
  <c r="F17" i="7"/>
  <c r="H17" i="7"/>
  <c r="I17" i="7"/>
  <c r="K17" i="7"/>
  <c r="F18" i="7"/>
  <c r="H18" i="7"/>
  <c r="I18" i="7"/>
  <c r="K18" i="7"/>
  <c r="F19" i="7"/>
  <c r="H19" i="7"/>
  <c r="I19" i="7"/>
  <c r="K19" i="7"/>
  <c r="F20" i="7"/>
  <c r="H20" i="7"/>
  <c r="I20" i="7"/>
  <c r="K20" i="7"/>
  <c r="F22" i="7"/>
  <c r="I22" i="7"/>
  <c r="J22" i="7"/>
  <c r="K22" i="7"/>
  <c r="F26" i="7"/>
  <c r="H26" i="7"/>
  <c r="I26" i="7"/>
  <c r="K26" i="7"/>
  <c r="F27" i="7"/>
  <c r="H27" i="7"/>
  <c r="I27" i="7"/>
  <c r="K27" i="7"/>
  <c r="F28" i="7"/>
  <c r="H28" i="7"/>
  <c r="I28" i="7"/>
  <c r="K28" i="7"/>
  <c r="F29" i="7"/>
  <c r="H29" i="7"/>
  <c r="I29" i="7"/>
  <c r="K29" i="7"/>
  <c r="F30" i="7"/>
  <c r="H30" i="7"/>
  <c r="I30" i="7"/>
  <c r="K30" i="7"/>
  <c r="F31" i="7"/>
  <c r="H31" i="7"/>
  <c r="I31" i="7"/>
  <c r="K31" i="7"/>
  <c r="F32" i="7"/>
  <c r="H32" i="7"/>
  <c r="I32" i="7"/>
  <c r="K32" i="7"/>
  <c r="F33" i="7"/>
  <c r="H33" i="7"/>
  <c r="I33" i="7"/>
  <c r="K33" i="7"/>
  <c r="F34" i="7"/>
  <c r="H34" i="7"/>
  <c r="I34" i="7"/>
  <c r="K34" i="7"/>
  <c r="F35" i="7"/>
  <c r="H35" i="7"/>
  <c r="I35" i="7"/>
  <c r="K35" i="7"/>
  <c r="F36" i="7"/>
  <c r="H36" i="7"/>
  <c r="I36" i="7"/>
  <c r="K36" i="7"/>
  <c r="F37" i="7"/>
  <c r="H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K15" i="3"/>
  <c r="F16" i="3"/>
  <c r="H16" i="3"/>
  <c r="I16" i="3"/>
  <c r="K16" i="3"/>
  <c r="F17" i="3"/>
  <c r="H17" i="3"/>
  <c r="I17" i="3"/>
  <c r="K17" i="3"/>
  <c r="F18" i="3"/>
  <c r="H18" i="3"/>
  <c r="I18" i="3"/>
  <c r="K18" i="3"/>
  <c r="F19" i="3"/>
  <c r="H19" i="3"/>
  <c r="I19" i="3"/>
  <c r="K19" i="3"/>
  <c r="F20" i="3"/>
  <c r="H20" i="3"/>
  <c r="I20" i="3"/>
  <c r="K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K31" i="3"/>
  <c r="B32" i="3"/>
  <c r="E32" i="3"/>
  <c r="F32" i="3"/>
  <c r="H32" i="3"/>
  <c r="I32" i="3"/>
  <c r="K32" i="3"/>
  <c r="B33" i="3"/>
  <c r="E33" i="3"/>
  <c r="F33" i="3"/>
  <c r="H33" i="3"/>
  <c r="I33" i="3"/>
  <c r="K33" i="3"/>
  <c r="B34" i="3"/>
  <c r="E34" i="3"/>
  <c r="F34" i="3"/>
  <c r="H34" i="3"/>
  <c r="I34" i="3"/>
  <c r="K34" i="3"/>
  <c r="B35" i="3"/>
  <c r="E35" i="3"/>
  <c r="F35" i="3"/>
  <c r="H35" i="3"/>
  <c r="I35" i="3"/>
  <c r="K35" i="3"/>
  <c r="B36" i="3"/>
  <c r="E36" i="3"/>
  <c r="F36" i="3"/>
  <c r="H36" i="3"/>
  <c r="I36" i="3"/>
  <c r="K36" i="3"/>
  <c r="F37" i="3"/>
  <c r="I37" i="3"/>
  <c r="J37" i="3"/>
  <c r="K37" i="3"/>
  <c r="L37" i="3"/>
  <c r="F39" i="3"/>
  <c r="I39" i="3"/>
  <c r="J39" i="3"/>
  <c r="K39" i="3"/>
  <c r="L39" i="3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K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K42" i="5"/>
  <c r="F43" i="5"/>
  <c r="I43" i="5"/>
  <c r="J43" i="5"/>
  <c r="K43" i="5"/>
  <c r="F45" i="5"/>
  <c r="I45" i="5"/>
  <c r="J45" i="5"/>
  <c r="K45" i="5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K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K28" i="6"/>
  <c r="F29" i="6"/>
  <c r="I29" i="6"/>
  <c r="J29" i="6"/>
  <c r="K29" i="6"/>
  <c r="F31" i="6"/>
  <c r="I31" i="6"/>
  <c r="J31" i="6"/>
  <c r="K31" i="6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L13" i="1"/>
  <c r="M13" i="1"/>
  <c r="N13" i="1"/>
  <c r="O13" i="1"/>
  <c r="P13" i="1"/>
  <c r="Q13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L17" i="1"/>
  <c r="M17" i="1"/>
  <c r="N17" i="1"/>
  <c r="O17" i="1"/>
  <c r="P17" i="1"/>
  <c r="Q17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L21" i="1"/>
  <c r="M21" i="1"/>
  <c r="N21" i="1"/>
  <c r="O21" i="1"/>
  <c r="P21" i="1"/>
  <c r="Q21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L29" i="1"/>
  <c r="M29" i="1"/>
  <c r="N29" i="1"/>
  <c r="O29" i="1"/>
  <c r="P29" i="1"/>
  <c r="Q29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L33" i="1"/>
  <c r="M33" i="1"/>
  <c r="N33" i="1"/>
  <c r="O33" i="1"/>
  <c r="P33" i="1"/>
  <c r="Q33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L37" i="1"/>
  <c r="M37" i="1"/>
  <c r="N37" i="1"/>
  <c r="O37" i="1"/>
  <c r="P37" i="1"/>
  <c r="Q37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41" i="1"/>
  <c r="M41" i="1"/>
  <c r="N41" i="1"/>
  <c r="O41" i="1"/>
  <c r="P41" i="1"/>
  <c r="Q41" i="1"/>
  <c r="M43" i="1"/>
  <c r="N43" i="1"/>
  <c r="O43" i="1"/>
  <c r="P43" i="1"/>
  <c r="Q43" i="1"/>
  <c r="N53" i="1"/>
  <c r="N55" i="1"/>
  <c r="N57" i="1"/>
  <c r="N59" i="1"/>
  <c r="N61" i="1"/>
  <c r="M63" i="1"/>
  <c r="N63" i="1"/>
</calcChain>
</file>

<file path=xl/sharedStrings.xml><?xml version="1.0" encoding="utf-8"?>
<sst xmlns="http://schemas.openxmlformats.org/spreadsheetml/2006/main" count="1098" uniqueCount="115">
  <si>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</si>
  <si>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</si>
  <si>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</si>
  <si>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</si>
  <si>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</si>
  <si>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</si>
  <si>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</si>
  <si>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</si>
  <si>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</si>
  <si>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Unhedged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</si>
  <si>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</si>
  <si>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</si>
  <si>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</si>
  <si>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</si>
  <si>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</si>
  <si>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</si>
  <si>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</si>
  <si>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</si>
  <si>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</si>
  <si>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</si>
  <si>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</si>
  <si>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</si>
  <si>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</si>
  <si>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</si>
  <si>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(1)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</si>
  <si>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</si>
  <si>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</si>
  <si>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</si>
  <si>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</si>
  <si>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</si>
  <si>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</si>
  <si>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</si>
  <si>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</si>
  <si>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</si>
  <si>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</si>
  <si>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</si>
  <si>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</si>
  <si>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</si>
  <si>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</si>
  <si>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</si>
  <si>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</si>
  <si>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</si>
  <si>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</si>
  <si>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</si>
  <si>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</si>
  <si>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UNHEDGED PRICE EXPOSURE</t>
  </si>
  <si>
    <t>*</t>
  </si>
  <si>
    <t>Short(-)</t>
  </si>
  <si>
    <t>Long(+)</t>
  </si>
  <si>
    <t>N</t>
  </si>
  <si>
    <t>Over-retention</t>
  </si>
  <si>
    <t>GPM</t>
  </si>
  <si>
    <t>Apache</t>
  </si>
  <si>
    <t>(1) Contract Type:</t>
  </si>
  <si>
    <t>F-Financial</t>
  </si>
  <si>
    <t>P-Physical</t>
  </si>
  <si>
    <t>(2)TW Over Retention is estimated for 15 mnths. @ 200,000/mnth less outstanding deals(Avista_2 &amp; Sempra_2).</t>
  </si>
  <si>
    <t>(3)Contract term 12 month evergreen.</t>
  </si>
  <si>
    <t>(4)Gain and Losses are a measurement of the effectiveness of meeting the stated hedge objective.</t>
  </si>
  <si>
    <t>(5)Margin call:  $   1,000,000-NNG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</si>
  <si>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</si>
  <si>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</si>
  <si>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</si>
  <si>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</si>
  <si>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</si>
  <si>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</si>
  <si>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</si>
  <si>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</si>
  <si>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</si>
  <si>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</si>
  <si>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</si>
  <si>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</si>
  <si>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</si>
  <si>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</si>
  <si>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</si>
  <si>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</si>
  <si>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</si>
  <si>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</si>
  <si>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</si>
  <si>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</si>
  <si>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</si>
  <si>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</si>
  <si>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</si>
  <si>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</si>
  <si>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</si>
  <si>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</si>
  <si>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</si>
  <si>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</si>
  <si>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</si>
  <si>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</si>
  <si>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Long (Short)</t>
  </si>
  <si>
    <t>DTs</t>
  </si>
  <si>
    <t>Customer</t>
  </si>
  <si>
    <t>over-retention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</si>
  <si>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</si>
  <si>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</si>
  <si>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</si>
  <si>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</si>
  <si>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</si>
  <si>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</si>
  <si>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</si>
  <si>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</si>
  <si>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</si>
  <si>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01/96-12/05</t>
  </si>
  <si>
    <t>Annuel Evergreen</t>
  </si>
  <si>
    <t>Over-rtnd</t>
  </si>
  <si>
    <t xml:space="preserve"> 06/99-05/00</t>
  </si>
  <si>
    <t>01/01-12/00</t>
  </si>
  <si>
    <t>06/00-05/03</t>
  </si>
  <si>
    <t>MID-AMERICAN ENERGY COMPANY</t>
  </si>
  <si>
    <t>MEC</t>
  </si>
  <si>
    <t>IF-Ventura</t>
  </si>
  <si>
    <t>NGI-Chicago</t>
  </si>
  <si>
    <t>11/99-04/00</t>
  </si>
  <si>
    <t>AS OF DECEMBER 09,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</si>
</sst>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17" fontId="0" fillId="0" borderId="0" xfId="0" applyNumberFormat="1"/>
    <xf numFmtId="1" fontId="0" fillId="0" borderId="0" xfId="0" applyNumberFormat="1"/>
    <xf numFmtId="164" fontId="2" fillId="0" borderId="0" xfId="1" applyNumberFormat="1"/>
    <xf numFmtId="10" fontId="2" fillId="0" borderId="0" xfId="3" applyNumberFormat="1"/>
    <xf numFmtId="10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164" fontId="2" fillId="0" borderId="0" xfId="1" applyNumberFormat="1" applyBorder="1"/>
    <xf numFmtId="17" fontId="0" fillId="0" borderId="0" xfId="0" applyNumberFormat="1" applyAlignment="1">
      <alignment horizontal="center"/>
    </xf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9" fillId="0" borderId="10" xfId="1" applyNumberFormat="1" applyFont="1" applyBorder="1"/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lpaso"/>
      <sheetName val="Mec"/>
      <sheetName val="Sheet3"/>
    </sheetNames>
    <sheetDataSet>
      <sheetData sheetId="0">
        <row r="9">
          <cell r="F9">
            <v>2.2050000000000001</v>
          </cell>
          <cell r="R9">
            <v>2.1983333333333333</v>
          </cell>
        </row>
        <row r="10">
          <cell r="F10">
            <v>2.202</v>
          </cell>
          <cell r="R10">
            <v>2.202</v>
          </cell>
        </row>
        <row r="11">
          <cell r="F11">
            <v>2.1699999999999995</v>
          </cell>
          <cell r="R11">
            <v>2.1799999999999997</v>
          </cell>
        </row>
        <row r="12">
          <cell r="F12">
            <v>2.0430000000000001</v>
          </cell>
          <cell r="R12">
            <v>2.1243333333333334</v>
          </cell>
        </row>
        <row r="13">
          <cell r="F13">
            <v>2.06</v>
          </cell>
          <cell r="R13">
            <v>2.1413333333333333</v>
          </cell>
        </row>
        <row r="14">
          <cell r="R14">
            <v>2.1643333333333334</v>
          </cell>
        </row>
        <row r="15">
          <cell r="R15">
            <v>2.1973333333333334</v>
          </cell>
        </row>
        <row r="16">
          <cell r="R16">
            <v>2.2193333333333336</v>
          </cell>
        </row>
        <row r="17">
          <cell r="R17">
            <v>2.2463333333333337</v>
          </cell>
        </row>
        <row r="18">
          <cell r="R18">
            <v>2.2683333333333335</v>
          </cell>
        </row>
        <row r="19">
          <cell r="R19">
            <v>2.3370000000000002</v>
          </cell>
        </row>
        <row r="20">
          <cell r="R20">
            <v>2.4796666666666667</v>
          </cell>
        </row>
        <row r="29">
          <cell r="F29">
            <v>2.2050000000000001</v>
          </cell>
        </row>
        <row r="30">
          <cell r="F30">
            <v>2.2119999999999997</v>
          </cell>
        </row>
        <row r="31">
          <cell r="F31">
            <v>2.1949999999999994</v>
          </cell>
        </row>
        <row r="32">
          <cell r="F32">
            <v>2.1749999999999998</v>
          </cell>
        </row>
        <row r="33">
          <cell r="F33">
            <v>2.1919999999999997</v>
          </cell>
        </row>
        <row r="34">
          <cell r="F34">
            <v>2.2149999999999999</v>
          </cell>
        </row>
        <row r="35">
          <cell r="F35">
            <v>2.238</v>
          </cell>
        </row>
        <row r="36">
          <cell r="F36">
            <v>2.2599999999999998</v>
          </cell>
        </row>
        <row r="37">
          <cell r="F37">
            <v>2.2869999999999999</v>
          </cell>
        </row>
        <row r="38">
          <cell r="F38">
            <v>2.319</v>
          </cell>
        </row>
        <row r="39">
          <cell r="F39">
            <v>2.4219999999999997</v>
          </cell>
        </row>
        <row r="40">
          <cell r="F40">
            <v>2.5599999999999996</v>
          </cell>
        </row>
      </sheetData>
      <sheetData sheetId="1">
        <row r="9">
          <cell r="F9">
            <v>2.3189999999999995</v>
          </cell>
        </row>
        <row r="10">
          <cell r="F10">
            <v>2.3249999999999997</v>
          </cell>
        </row>
        <row r="11">
          <cell r="F11">
            <v>2.3319999999999999</v>
          </cell>
        </row>
        <row r="12">
          <cell r="F12">
            <v>2.3459999999999996</v>
          </cell>
        </row>
        <row r="13">
          <cell r="F13">
            <v>2.3930000000000002</v>
          </cell>
        </row>
      </sheetData>
      <sheetData sheetId="2">
        <row r="13">
          <cell r="E13">
            <v>2.3395000000000001</v>
          </cell>
        </row>
        <row r="14">
          <cell r="E14">
            <v>2.34</v>
          </cell>
        </row>
        <row r="15">
          <cell r="E15">
            <v>2.2399999999999998</v>
          </cell>
        </row>
        <row r="16">
          <cell r="E16">
            <v>2.2469999999999999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abSelected="1" workbookViewId="0"/>
  </sheetViews>
  <sheetFormatPr defaultColWidth="9.5546875" defaultRowHeight="10.199999999999999" x14ac:dyDescent="0.2"/>
  <cols>
    <col min="1" max="1" width="8" style="80" customWidth="1"/>
    <col min="2" max="2" width="9" style="80" bestFit="1" customWidth="1"/>
    <col min="3" max="3" width="9.6640625" style="80" bestFit="1" customWidth="1"/>
    <col min="4" max="5" width="8.44140625" style="80" bestFit="1" customWidth="1"/>
    <col min="6" max="6" width="7.44140625" style="80" bestFit="1" customWidth="1"/>
    <col min="7" max="7" width="9.44140625" style="80" bestFit="1" customWidth="1"/>
    <col min="8" max="8" width="9.6640625" style="80" bestFit="1" customWidth="1"/>
    <col min="9" max="9" width="9.44140625" style="80" bestFit="1" customWidth="1"/>
    <col min="10" max="10" width="8.44140625" style="80" bestFit="1" customWidth="1"/>
    <col min="11" max="11" width="8.5546875" style="80" bestFit="1" customWidth="1"/>
    <col min="12" max="12" width="9.5546875" style="80" customWidth="1"/>
    <col min="13" max="13" width="11.5546875" style="80" bestFit="1" customWidth="1"/>
    <col min="14" max="14" width="9.5546875" style="80" customWidth="1"/>
    <col min="15" max="15" width="14" style="80" bestFit="1" customWidth="1"/>
    <col min="16" max="17" width="12.5546875" style="80" bestFit="1" customWidth="1"/>
    <col min="18" max="16384" width="9.5546875" style="80"/>
  </cols>
  <sheetData>
    <row r="1" spans="1:17" s="79" customFormat="1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s="79" customFormat="1" x14ac:dyDescent="0.2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s="79" customFormat="1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</row>
    <row r="5" spans="1:17" x14ac:dyDescent="0.2">
      <c r="A5" s="78" t="s">
        <v>114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x14ac:dyDescent="0.2">
      <c r="L6" s="81"/>
    </row>
    <row r="7" spans="1:17" s="87" customFormat="1" x14ac:dyDescent="0.2">
      <c r="A7" s="82" t="s">
        <v>3</v>
      </c>
      <c r="B7" s="83" t="s">
        <v>4</v>
      </c>
      <c r="C7" s="83" t="s">
        <v>5</v>
      </c>
      <c r="D7" s="83" t="s">
        <v>5</v>
      </c>
      <c r="E7" s="83" t="s">
        <v>5</v>
      </c>
      <c r="F7" s="83" t="s">
        <v>6</v>
      </c>
      <c r="G7" s="83" t="s">
        <v>7</v>
      </c>
      <c r="H7" s="83" t="s">
        <v>8</v>
      </c>
      <c r="I7" s="83" t="s">
        <v>9</v>
      </c>
      <c r="J7" s="83" t="s">
        <v>5</v>
      </c>
      <c r="K7" s="83" t="s">
        <v>10</v>
      </c>
      <c r="L7" s="83" t="s">
        <v>11</v>
      </c>
      <c r="M7" s="83" t="s">
        <v>5</v>
      </c>
      <c r="N7" s="83" t="s">
        <v>12</v>
      </c>
      <c r="O7" s="84"/>
      <c r="P7" s="85"/>
      <c r="Q7" s="86"/>
    </row>
    <row r="8" spans="1:17" s="87" customFormat="1" x14ac:dyDescent="0.2">
      <c r="A8" s="88" t="s">
        <v>13</v>
      </c>
      <c r="B8" s="89" t="s">
        <v>14</v>
      </c>
      <c r="C8" s="89" t="s">
        <v>14</v>
      </c>
      <c r="D8" s="89" t="s">
        <v>15</v>
      </c>
      <c r="E8" s="89" t="s">
        <v>16</v>
      </c>
      <c r="F8" s="89"/>
      <c r="G8" s="89" t="s">
        <v>17</v>
      </c>
      <c r="H8" s="89" t="s">
        <v>18</v>
      </c>
      <c r="I8" s="89" t="s">
        <v>18</v>
      </c>
      <c r="J8" s="89" t="s">
        <v>19</v>
      </c>
      <c r="K8" s="89" t="s">
        <v>20</v>
      </c>
      <c r="L8" s="89"/>
      <c r="M8" s="89" t="s">
        <v>21</v>
      </c>
      <c r="N8" s="89" t="s">
        <v>22</v>
      </c>
      <c r="O8" s="90" t="s">
        <v>23</v>
      </c>
      <c r="P8" s="91"/>
      <c r="Q8" s="92"/>
    </row>
    <row r="9" spans="1:17" s="87" customFormat="1" x14ac:dyDescent="0.2">
      <c r="A9" s="88"/>
      <c r="B9" s="89"/>
      <c r="C9" s="89"/>
      <c r="D9" s="89"/>
      <c r="E9" s="93" t="s">
        <v>24</v>
      </c>
      <c r="F9" s="89"/>
      <c r="G9" s="89" t="s">
        <v>25</v>
      </c>
      <c r="H9" s="89"/>
      <c r="I9" s="89"/>
      <c r="J9" s="89"/>
      <c r="K9" s="89" t="s">
        <v>26</v>
      </c>
      <c r="L9" s="89"/>
      <c r="M9" s="89" t="s">
        <v>27</v>
      </c>
      <c r="N9" s="89"/>
      <c r="O9" s="94" t="s">
        <v>28</v>
      </c>
      <c r="P9" s="94" t="s">
        <v>29</v>
      </c>
      <c r="Q9" s="95" t="s">
        <v>30</v>
      </c>
    </row>
    <row r="10" spans="1:17" s="87" customFormat="1" x14ac:dyDescent="0.2">
      <c r="A10" s="149"/>
      <c r="B10" s="96"/>
      <c r="C10" s="96"/>
      <c r="D10" s="96"/>
      <c r="E10" s="96"/>
      <c r="F10" s="96"/>
      <c r="G10" s="96"/>
      <c r="H10" s="96"/>
      <c r="I10" s="96"/>
      <c r="J10" s="96"/>
      <c r="K10" s="96" t="s">
        <v>31</v>
      </c>
      <c r="L10" s="96"/>
      <c r="M10" s="96" t="s">
        <v>32</v>
      </c>
      <c r="N10" s="96"/>
      <c r="O10" s="97" t="s">
        <v>33</v>
      </c>
      <c r="P10" s="97" t="s">
        <v>33</v>
      </c>
      <c r="Q10" s="98" t="s">
        <v>33</v>
      </c>
    </row>
    <row r="11" spans="1:17" hidden="1" x14ac:dyDescent="0.2">
      <c r="A11" s="99">
        <v>1</v>
      </c>
      <c r="B11" s="99" t="s">
        <v>34</v>
      </c>
      <c r="C11" s="99" t="s">
        <v>35</v>
      </c>
      <c r="D11" s="100"/>
      <c r="E11" s="99" t="s">
        <v>36</v>
      </c>
      <c r="F11" s="100"/>
      <c r="G11" s="99" t="s">
        <v>37</v>
      </c>
      <c r="H11" s="101" t="s">
        <v>98</v>
      </c>
      <c r="I11" s="100"/>
      <c r="J11" s="102">
        <f>+Avista_1!D10</f>
        <v>2.2200000000000002</v>
      </c>
      <c r="K11" s="103">
        <f>(SUM(Avista_1!G10:G21)+SUM(Avista_1!H26:H37))/12</f>
        <v>1.7525000000000004</v>
      </c>
      <c r="L11" s="102">
        <f>-O11/M11</f>
        <v>-0.46602739726027415</v>
      </c>
      <c r="M11" s="104">
        <f>-Avista_1!F22</f>
        <v>-91250</v>
      </c>
      <c r="N11" s="104">
        <f>+M11/365</f>
        <v>-250</v>
      </c>
      <c r="O11" s="105">
        <f>-Avista_1!I22</f>
        <v>-42525.000000000015</v>
      </c>
      <c r="P11" s="106">
        <f>-Avista_1!J22</f>
        <v>-42525.000000000015</v>
      </c>
      <c r="Q11" s="106">
        <f>-Avista_1!K22</f>
        <v>0</v>
      </c>
    </row>
    <row r="12" spans="1:17" hidden="1" x14ac:dyDescent="0.2">
      <c r="A12" s="107">
        <v>1</v>
      </c>
      <c r="B12" s="107" t="s">
        <v>34</v>
      </c>
      <c r="C12" s="107" t="s">
        <v>37</v>
      </c>
      <c r="D12" s="107">
        <v>26125</v>
      </c>
      <c r="E12" s="107" t="s">
        <v>38</v>
      </c>
      <c r="F12" s="107" t="s">
        <v>39</v>
      </c>
      <c r="G12" s="107" t="s">
        <v>35</v>
      </c>
      <c r="H12" s="101" t="s">
        <v>98</v>
      </c>
      <c r="I12" s="108"/>
      <c r="J12" s="110">
        <f>+Avista_1!D26</f>
        <v>2.2200000000000002</v>
      </c>
      <c r="K12" s="111">
        <f>(SUM(Avista_1!G26:G37)+SUM(Avista_1!H26:H37))/12</f>
        <v>1.8191666666666668</v>
      </c>
      <c r="L12" s="112">
        <f>+O12/M12</f>
        <v>0.36873972602739735</v>
      </c>
      <c r="M12" s="113">
        <f>-Avista_1!F38</f>
        <v>91250</v>
      </c>
      <c r="N12" s="114">
        <f>+M12/365</f>
        <v>250</v>
      </c>
      <c r="O12" s="115">
        <f>-Avista_1!I38</f>
        <v>33647.500000000007</v>
      </c>
      <c r="P12" s="106">
        <f>-Avista_1!J38</f>
        <v>33647.500000000007</v>
      </c>
      <c r="Q12" s="106">
        <f>-Avista_1!K38</f>
        <v>0</v>
      </c>
    </row>
    <row r="13" spans="1:17" hidden="1" x14ac:dyDescent="0.2">
      <c r="A13" s="107"/>
      <c r="B13" s="107"/>
      <c r="C13" s="107"/>
      <c r="D13" s="107"/>
      <c r="E13" s="107"/>
      <c r="F13" s="107"/>
      <c r="G13" s="107"/>
      <c r="H13" s="108"/>
      <c r="I13" s="108"/>
      <c r="J13" s="110"/>
      <c r="K13" s="103"/>
      <c r="L13" s="110">
        <f>+L11+L12</f>
        <v>-9.7287671232876793E-2</v>
      </c>
      <c r="M13" s="116">
        <f>SUM(M11:M12)</f>
        <v>0</v>
      </c>
      <c r="N13" s="116">
        <f>SUM(N11:N12)</f>
        <v>0</v>
      </c>
      <c r="O13" s="117">
        <f>SUM(O11:O12)</f>
        <v>-8877.5000000000073</v>
      </c>
      <c r="P13" s="117">
        <f>SUM(P11:P12)</f>
        <v>-8877.5000000000073</v>
      </c>
      <c r="Q13" s="117">
        <f>SUM(Q11:Q12)</f>
        <v>0</v>
      </c>
    </row>
    <row r="14" spans="1:17" ht="9.9" hidden="1" customHeight="1" x14ac:dyDescent="0.2">
      <c r="A14" s="107"/>
      <c r="B14" s="107"/>
      <c r="C14" s="107"/>
      <c r="D14" s="107"/>
      <c r="E14" s="107"/>
      <c r="F14" s="107"/>
      <c r="G14" s="107"/>
      <c r="H14" s="108"/>
      <c r="I14" s="108"/>
      <c r="J14" s="110"/>
      <c r="K14" s="103"/>
      <c r="L14" s="110"/>
      <c r="M14" s="114"/>
      <c r="N14" s="114"/>
      <c r="O14" s="115"/>
      <c r="P14" s="106"/>
      <c r="Q14" s="106"/>
    </row>
    <row r="15" spans="1:17" x14ac:dyDescent="0.2">
      <c r="A15" s="107">
        <v>1</v>
      </c>
      <c r="B15" s="107" t="s">
        <v>34</v>
      </c>
      <c r="C15" s="107" t="s">
        <v>40</v>
      </c>
      <c r="D15" s="107"/>
      <c r="E15" s="107" t="s">
        <v>36</v>
      </c>
      <c r="F15" s="107"/>
      <c r="G15" s="107" t="s">
        <v>37</v>
      </c>
      <c r="H15" s="101" t="s">
        <v>106</v>
      </c>
      <c r="I15" s="108"/>
      <c r="J15" s="110">
        <f>+Sempra_1!D9</f>
        <v>1.9450000000000001</v>
      </c>
      <c r="K15" s="111">
        <f>(SUM(Sempra_1!G9:H20)/12)</f>
        <v>2.2391666666666659</v>
      </c>
      <c r="L15" s="110">
        <f>-O15/M15</f>
        <v>0.29295901639344252</v>
      </c>
      <c r="M15" s="113">
        <f>-Sempra_1!F21</f>
        <v>-91500</v>
      </c>
      <c r="N15" s="114">
        <f>+M15/366</f>
        <v>-250</v>
      </c>
      <c r="O15" s="115">
        <f>-Sempra_1!I21</f>
        <v>26805.749999999989</v>
      </c>
      <c r="P15" s="106">
        <f>-Sempra_1!J21</f>
        <v>18511.249999999993</v>
      </c>
      <c r="Q15" s="106">
        <f>-Sempra_1!K21</f>
        <v>8294.4999999999945</v>
      </c>
    </row>
    <row r="16" spans="1:17" x14ac:dyDescent="0.2">
      <c r="A16" s="107">
        <v>1</v>
      </c>
      <c r="B16" s="107" t="s">
        <v>34</v>
      </c>
      <c r="C16" s="107" t="s">
        <v>37</v>
      </c>
      <c r="D16" s="107">
        <v>26125</v>
      </c>
      <c r="E16" s="107" t="s">
        <v>38</v>
      </c>
      <c r="F16" s="107" t="s">
        <v>39</v>
      </c>
      <c r="G16" s="107" t="s">
        <v>40</v>
      </c>
      <c r="H16" s="101" t="s">
        <v>106</v>
      </c>
      <c r="I16" s="108"/>
      <c r="J16" s="110">
        <f>+Sempra_1!D25</f>
        <v>1.9450000000000001</v>
      </c>
      <c r="K16" s="103">
        <f>(SUM(Sempra_1!G25:H36)/12)</f>
        <v>2.2313333333333327</v>
      </c>
      <c r="L16" s="112">
        <f>+O16/M16</f>
        <v>-0.28704280510018199</v>
      </c>
      <c r="M16" s="114">
        <f>-Sempra_1!F37</f>
        <v>91500</v>
      </c>
      <c r="N16" s="114">
        <f>+M16/366</f>
        <v>250</v>
      </c>
      <c r="O16" s="115">
        <f>-Sempra_1!I37</f>
        <v>-26264.416666666653</v>
      </c>
      <c r="P16" s="106">
        <f>-Sempra_1!J37</f>
        <v>-16626.249999999993</v>
      </c>
      <c r="Q16" s="106">
        <f>-Sempra_1!K37</f>
        <v>-9638.1666666666588</v>
      </c>
    </row>
    <row r="17" spans="1:17" x14ac:dyDescent="0.2">
      <c r="A17" s="107"/>
      <c r="B17" s="107"/>
      <c r="C17" s="107"/>
      <c r="D17" s="108"/>
      <c r="E17" s="108"/>
      <c r="F17" s="108"/>
      <c r="G17" s="108"/>
      <c r="H17" s="108"/>
      <c r="I17" s="108"/>
      <c r="J17" s="108"/>
      <c r="K17" s="118"/>
      <c r="L17" s="110">
        <f>+L15+L16</f>
        <v>5.9162112932605315E-3</v>
      </c>
      <c r="M17" s="119">
        <f>+M11+M12</f>
        <v>0</v>
      </c>
      <c r="N17" s="119">
        <f>+N11+N12</f>
        <v>0</v>
      </c>
      <c r="O17" s="120">
        <f>+O15+O16</f>
        <v>541.33333333333576</v>
      </c>
      <c r="P17" s="120">
        <f>+P15+P16</f>
        <v>1885</v>
      </c>
      <c r="Q17" s="120">
        <f>+Q15+Q16</f>
        <v>-1343.6666666666642</v>
      </c>
    </row>
    <row r="18" spans="1:17" ht="9.9" customHeight="1" x14ac:dyDescent="0.2">
      <c r="A18" s="107"/>
      <c r="B18" s="107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  <c r="Q18" s="109"/>
    </row>
    <row r="19" spans="1:17" x14ac:dyDescent="0.2">
      <c r="A19" s="107">
        <v>2</v>
      </c>
      <c r="B19" s="107" t="s">
        <v>34</v>
      </c>
      <c r="C19" s="107" t="s">
        <v>35</v>
      </c>
      <c r="D19" s="108"/>
      <c r="E19" s="107" t="s">
        <v>36</v>
      </c>
      <c r="F19" s="108"/>
      <c r="G19" s="107" t="s">
        <v>105</v>
      </c>
      <c r="H19" s="101" t="s">
        <v>99</v>
      </c>
      <c r="I19" s="108"/>
      <c r="J19" s="103">
        <f>+Avista_2!D9</f>
        <v>2.0049999999999999</v>
      </c>
      <c r="K19" s="103">
        <f>(SUM(Avista_2!G9:G23)+SUM(Avista_2!H9:H23))/15</f>
        <v>2.0893333333333342</v>
      </c>
      <c r="L19" s="110">
        <f>-O19/M19</f>
        <v>8.5262582056892869E-2</v>
      </c>
      <c r="M19" s="114">
        <f>-Avista_2!F24</f>
        <v>1142500</v>
      </c>
      <c r="N19" s="114">
        <f>+M19/457</f>
        <v>2500</v>
      </c>
      <c r="O19" s="115">
        <f>-Avista_2!I24</f>
        <v>-97412.500000000102</v>
      </c>
      <c r="P19" s="106">
        <f>-Avista_2!J24</f>
        <v>-91600.000000000087</v>
      </c>
      <c r="Q19" s="106">
        <f>-Avista_2!K24</f>
        <v>-5812.5000000000136</v>
      </c>
    </row>
    <row r="20" spans="1:17" x14ac:dyDescent="0.2">
      <c r="A20" s="107">
        <v>2</v>
      </c>
      <c r="B20" s="107" t="s">
        <v>34</v>
      </c>
      <c r="C20" s="107" t="s">
        <v>105</v>
      </c>
      <c r="D20" s="108"/>
      <c r="E20" s="107" t="s">
        <v>38</v>
      </c>
      <c r="F20" s="107" t="s">
        <v>39</v>
      </c>
      <c r="G20" s="107" t="s">
        <v>35</v>
      </c>
      <c r="H20" s="101" t="s">
        <v>99</v>
      </c>
      <c r="I20" s="108"/>
      <c r="J20" s="103">
        <f>+Avista_2!D28</f>
        <v>2.0049999999999999</v>
      </c>
      <c r="K20" s="103">
        <f>(SUM(Avista_2!G28:G42)+SUM(Avista_2!H28:H42))/15</f>
        <v>2.0259999999999998</v>
      </c>
      <c r="L20" s="112">
        <f>+O20/M20</f>
        <v>-2.2724288840262643E-2</v>
      </c>
      <c r="M20" s="114">
        <f>-Avista_2!F43</f>
        <v>-1142500</v>
      </c>
      <c r="N20" s="114">
        <f>+M20/457</f>
        <v>-2500</v>
      </c>
      <c r="O20" s="115">
        <f>-Avista_2!I43</f>
        <v>25962.500000000069</v>
      </c>
      <c r="P20" s="106">
        <f>-Avista_2!J43</f>
        <v>19375.000000000073</v>
      </c>
      <c r="Q20" s="106">
        <f>-Avista_2!K43</f>
        <v>6587.4999999999973</v>
      </c>
    </row>
    <row r="21" spans="1:17" x14ac:dyDescent="0.2">
      <c r="A21" s="107"/>
      <c r="B21" s="107"/>
      <c r="C21" s="108"/>
      <c r="D21" s="108"/>
      <c r="E21" s="108"/>
      <c r="F21" s="108"/>
      <c r="G21" s="108"/>
      <c r="H21" s="108"/>
      <c r="I21" s="108"/>
      <c r="J21" s="108"/>
      <c r="K21" s="108"/>
      <c r="L21" s="110">
        <f>+L19+L20</f>
        <v>6.2538293216630222E-2</v>
      </c>
      <c r="M21" s="119">
        <f>+M20+M19</f>
        <v>0</v>
      </c>
      <c r="N21" s="119">
        <f>+N20+N19</f>
        <v>0</v>
      </c>
      <c r="O21" s="120">
        <f>+O20+O19</f>
        <v>-71450.000000000029</v>
      </c>
      <c r="P21" s="120">
        <f>+P20+P19</f>
        <v>-72225.000000000015</v>
      </c>
      <c r="Q21" s="120">
        <f>+Q20+Q19</f>
        <v>774.99999999998363</v>
      </c>
    </row>
    <row r="22" spans="1:17" ht="9.9" customHeight="1" x14ac:dyDescent="0.2">
      <c r="A22" s="107"/>
      <c r="B22" s="107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  <c r="Q22" s="109"/>
    </row>
    <row r="23" spans="1:17" x14ac:dyDescent="0.2">
      <c r="A23" s="107">
        <v>2</v>
      </c>
      <c r="B23" s="107" t="s">
        <v>34</v>
      </c>
      <c r="C23" s="107" t="s">
        <v>40</v>
      </c>
      <c r="D23" s="108"/>
      <c r="E23" s="107" t="s">
        <v>36</v>
      </c>
      <c r="F23" s="108"/>
      <c r="G23" s="107" t="s">
        <v>105</v>
      </c>
      <c r="H23" s="101" t="s">
        <v>99</v>
      </c>
      <c r="I23" s="108"/>
      <c r="J23" s="103">
        <f>+Sempra_2!D9</f>
        <v>2.1</v>
      </c>
      <c r="K23" s="103">
        <f>(SUM(Sempra_2!G9:G23)+SUM(Sempra_2!H9:H23))/15</f>
        <v>2.0893333333333342</v>
      </c>
      <c r="L23" s="110">
        <f>-O23/M23</f>
        <v>-9.7374179431073109E-3</v>
      </c>
      <c r="M23" s="114">
        <f>-Sempra_2!F24</f>
        <v>1142500</v>
      </c>
      <c r="N23" s="114">
        <f>+M23/457</f>
        <v>2500</v>
      </c>
      <c r="O23" s="115">
        <f>-Sempra_2!I24</f>
        <v>11125.000000000104</v>
      </c>
      <c r="P23" s="106">
        <f>-Sempra_2!J24</f>
        <v>9575.0000000001019</v>
      </c>
      <c r="Q23" s="106">
        <f>-Sempra_2!K24</f>
        <v>1550.0000000000014</v>
      </c>
    </row>
    <row r="24" spans="1:17" x14ac:dyDescent="0.2">
      <c r="A24" s="107">
        <v>2</v>
      </c>
      <c r="B24" s="107" t="s">
        <v>34</v>
      </c>
      <c r="C24" s="107" t="s">
        <v>105</v>
      </c>
      <c r="D24" s="108"/>
      <c r="E24" s="107" t="s">
        <v>38</v>
      </c>
      <c r="F24" s="107" t="s">
        <v>39</v>
      </c>
      <c r="G24" s="107" t="s">
        <v>40</v>
      </c>
      <c r="H24" s="101" t="s">
        <v>99</v>
      </c>
      <c r="I24" s="108"/>
      <c r="J24" s="103">
        <f>+Sempra_2!D28</f>
        <v>2.1</v>
      </c>
      <c r="K24" s="103">
        <f>(SUM(Sempra_2!G28:G42)+SUM(Sempra_2!H28:H42))/15</f>
        <v>2.0259999999999998</v>
      </c>
      <c r="L24" s="112">
        <f>+O24/M24</f>
        <v>7.2275711159737577E-2</v>
      </c>
      <c r="M24" s="121">
        <f>-Sempra_2!F43</f>
        <v>-1142500</v>
      </c>
      <c r="N24" s="121">
        <f>+M24/457</f>
        <v>-2500</v>
      </c>
      <c r="O24" s="122">
        <f>-Sempra_2!I43</f>
        <v>-82575.000000000189</v>
      </c>
      <c r="P24" s="123">
        <f>-Sempra_2!J43</f>
        <v>-81800.000000000175</v>
      </c>
      <c r="Q24" s="123">
        <f>-Sempra_2!K43</f>
        <v>-775.00000000001785</v>
      </c>
    </row>
    <row r="25" spans="1:17" x14ac:dyDescent="0.2">
      <c r="A25" s="107"/>
      <c r="B25" s="107"/>
      <c r="C25" s="107"/>
      <c r="D25" s="108"/>
      <c r="E25" s="107"/>
      <c r="F25" s="107"/>
      <c r="G25" s="107"/>
      <c r="H25" s="108"/>
      <c r="I25" s="108"/>
      <c r="J25" s="103"/>
      <c r="K25" s="103"/>
      <c r="L25" s="110">
        <f>+L23+L24</f>
        <v>6.2538293216630264E-2</v>
      </c>
      <c r="M25" s="114">
        <f>+M24+M23</f>
        <v>0</v>
      </c>
      <c r="N25" s="114">
        <f>+N24+N23</f>
        <v>0</v>
      </c>
      <c r="O25" s="124">
        <f>+O24+O23</f>
        <v>-71450.000000000087</v>
      </c>
      <c r="P25" s="124">
        <f>+P24+P23</f>
        <v>-72225.000000000073</v>
      </c>
      <c r="Q25" s="124">
        <f>+Q24+Q23</f>
        <v>774.99999999998352</v>
      </c>
    </row>
    <row r="26" spans="1:17" ht="9.9" customHeight="1" x14ac:dyDescent="0.2">
      <c r="A26" s="107"/>
      <c r="B26" s="107"/>
      <c r="C26" s="107"/>
      <c r="D26" s="108"/>
      <c r="E26" s="107"/>
      <c r="F26" s="107"/>
      <c r="G26" s="107"/>
      <c r="H26" s="108"/>
      <c r="I26" s="108"/>
      <c r="J26" s="103"/>
      <c r="K26" s="103"/>
      <c r="L26" s="103"/>
      <c r="M26" s="114"/>
      <c r="N26" s="114"/>
      <c r="O26" s="115"/>
      <c r="P26" s="106"/>
      <c r="Q26" s="106"/>
    </row>
    <row r="27" spans="1:17" x14ac:dyDescent="0.2">
      <c r="A27" s="107">
        <v>2</v>
      </c>
      <c r="B27" s="107" t="s">
        <v>34</v>
      </c>
      <c r="C27" s="107" t="s">
        <v>40</v>
      </c>
      <c r="D27" s="108"/>
      <c r="E27" s="107" t="s">
        <v>36</v>
      </c>
      <c r="F27" s="108"/>
      <c r="G27" s="107" t="s">
        <v>105</v>
      </c>
      <c r="H27" s="101" t="s">
        <v>100</v>
      </c>
      <c r="I27" s="108"/>
      <c r="J27" s="103">
        <v>2.0099999999999998</v>
      </c>
      <c r="K27" s="103">
        <f>(SUM(Sempra_2.1!G9:G16)+SUM(Sempra_2.1!H9:H19))/8</f>
        <v>2.3775000000000004</v>
      </c>
      <c r="L27" s="110">
        <f>-O27/M27</f>
        <v>0.36506122448979617</v>
      </c>
      <c r="M27" s="114">
        <f>-Sempra_2.1!F17</f>
        <v>2450000</v>
      </c>
      <c r="N27" s="114">
        <f>+M27/245</f>
        <v>10000</v>
      </c>
      <c r="O27" s="115">
        <f>-Sempra_2.1!I17</f>
        <v>-894400.00000000058</v>
      </c>
      <c r="P27" s="106">
        <f>-Sempra_2.1!J17</f>
        <v>-872700.00000000047</v>
      </c>
      <c r="Q27" s="106">
        <f>-Sempra_2.1!K17</f>
        <v>-21700.000000000087</v>
      </c>
    </row>
    <row r="28" spans="1:17" x14ac:dyDescent="0.2">
      <c r="A28" s="107">
        <v>2</v>
      </c>
      <c r="B28" s="107" t="s">
        <v>34</v>
      </c>
      <c r="C28" s="107" t="s">
        <v>105</v>
      </c>
      <c r="D28" s="108"/>
      <c r="E28" s="107" t="s">
        <v>38</v>
      </c>
      <c r="F28" s="107" t="s">
        <v>39</v>
      </c>
      <c r="G28" s="107" t="s">
        <v>40</v>
      </c>
      <c r="H28" s="101" t="s">
        <v>100</v>
      </c>
      <c r="I28" s="108"/>
      <c r="J28" s="103">
        <v>2.0099999999999998</v>
      </c>
      <c r="K28" s="103">
        <f>(SUM(Sempra_2.1!G21:G28)+SUM(Sempra_2.1!H21:H28))/8</f>
        <v>2.2487500000000002</v>
      </c>
      <c r="L28" s="112">
        <f>+O28/M28</f>
        <v>-0.2393469387755103</v>
      </c>
      <c r="M28" s="114">
        <f>-Sempra_2.1!F29</f>
        <v>-2450000</v>
      </c>
      <c r="N28" s="114">
        <f>+M28/245</f>
        <v>-10000</v>
      </c>
      <c r="O28" s="115">
        <f>-Sempra_2.1!I29</f>
        <v>586400.00000000023</v>
      </c>
      <c r="P28" s="106">
        <f>-Sempra_2.1!J29</f>
        <v>561600.00000000023</v>
      </c>
      <c r="Q28" s="106">
        <f>-Sempra_2.1!K29</f>
        <v>24800.000000000022</v>
      </c>
    </row>
    <row r="29" spans="1:17" x14ac:dyDescent="0.2">
      <c r="A29" s="107"/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10">
        <f t="shared" ref="L29:Q29" si="0">+L27+L28</f>
        <v>0.12571428571428586</v>
      </c>
      <c r="M29" s="119">
        <f t="shared" si="0"/>
        <v>0</v>
      </c>
      <c r="N29" s="119">
        <f t="shared" si="0"/>
        <v>0</v>
      </c>
      <c r="O29" s="120">
        <f t="shared" si="0"/>
        <v>-308000.00000000035</v>
      </c>
      <c r="P29" s="120">
        <f t="shared" si="0"/>
        <v>-311100.00000000023</v>
      </c>
      <c r="Q29" s="120">
        <f t="shared" si="0"/>
        <v>3099.9999999999345</v>
      </c>
    </row>
    <row r="30" spans="1:17" ht="9.9" customHeight="1" x14ac:dyDescent="0.2">
      <c r="A30" s="107"/>
      <c r="B30" s="107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8"/>
      <c r="N30" s="118"/>
      <c r="O30" s="124"/>
      <c r="P30" s="125"/>
      <c r="Q30" s="125"/>
    </row>
    <row r="31" spans="1:17" x14ac:dyDescent="0.2">
      <c r="A31" s="107">
        <v>2</v>
      </c>
      <c r="B31" s="107" t="s">
        <v>34</v>
      </c>
      <c r="C31" s="107" t="s">
        <v>41</v>
      </c>
      <c r="D31" s="108"/>
      <c r="E31" s="107" t="s">
        <v>36</v>
      </c>
      <c r="F31" s="108"/>
      <c r="G31" s="107" t="s">
        <v>105</v>
      </c>
      <c r="H31" s="101" t="s">
        <v>107</v>
      </c>
      <c r="I31" s="108"/>
      <c r="J31" s="103">
        <v>2.3650000000000002</v>
      </c>
      <c r="K31" s="103">
        <f>(SUM(RMTC_2!G9:G20)+SUM(RMTC_2!H9:H20))/12</f>
        <v>2.273333333333333</v>
      </c>
      <c r="L31" s="110">
        <f>-O31/M31</f>
        <v>-9.1346994535519532E-2</v>
      </c>
      <c r="M31" s="126">
        <f>-RMTC_2!F22</f>
        <v>5490000</v>
      </c>
      <c r="N31" s="126">
        <f>+M31/366</f>
        <v>15000</v>
      </c>
      <c r="O31" s="115">
        <f>-RMTC_2!I22</f>
        <v>501495.00000000227</v>
      </c>
      <c r="P31" s="106">
        <f>-RMTC_2!J22</f>
        <v>0</v>
      </c>
      <c r="Q31" s="106">
        <f>-RMTC_2!K22</f>
        <v>501495.00000000227</v>
      </c>
    </row>
    <row r="32" spans="1:17" x14ac:dyDescent="0.2">
      <c r="A32" s="107">
        <v>2</v>
      </c>
      <c r="B32" s="107" t="s">
        <v>34</v>
      </c>
      <c r="C32" s="107" t="s">
        <v>105</v>
      </c>
      <c r="D32" s="108"/>
      <c r="E32" s="107" t="s">
        <v>38</v>
      </c>
      <c r="F32" s="107" t="s">
        <v>39</v>
      </c>
      <c r="G32" s="107" t="s">
        <v>41</v>
      </c>
      <c r="H32" s="101" t="s">
        <v>107</v>
      </c>
      <c r="I32" s="108"/>
      <c r="J32" s="103">
        <v>2.3650000000000002</v>
      </c>
      <c r="K32" s="103">
        <f>(SUM(RMTC_2!G26:G37)+SUM(RMTC_2!H26:H37))/12</f>
        <v>2.2298611111111111</v>
      </c>
      <c r="L32" s="112">
        <f>+O32/M32</f>
        <v>0.13485701275045553</v>
      </c>
      <c r="M32" s="127">
        <f>-RMTC_2!F39</f>
        <v>-5490000</v>
      </c>
      <c r="N32" s="127">
        <f>+M32/366</f>
        <v>-15000</v>
      </c>
      <c r="O32" s="122">
        <f>-RMTC_2!I39</f>
        <v>-740365.00000000081</v>
      </c>
      <c r="P32" s="123">
        <f>-RMTC_2!J39</f>
        <v>0</v>
      </c>
      <c r="Q32" s="123">
        <f>-RMTC_2!K39</f>
        <v>-740365.00000000081</v>
      </c>
    </row>
    <row r="33" spans="1:17" x14ac:dyDescent="0.2">
      <c r="A33" s="107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10">
        <f t="shared" ref="L33:Q33" si="1">+L31+L32</f>
        <v>4.3510018214935997E-2</v>
      </c>
      <c r="M33" s="118">
        <f t="shared" si="1"/>
        <v>0</v>
      </c>
      <c r="N33" s="118">
        <f t="shared" si="1"/>
        <v>0</v>
      </c>
      <c r="O33" s="124">
        <f t="shared" si="1"/>
        <v>-238869.99999999854</v>
      </c>
      <c r="P33" s="124">
        <f t="shared" si="1"/>
        <v>0</v>
      </c>
      <c r="Q33" s="124">
        <f t="shared" si="1"/>
        <v>-238869.99999999854</v>
      </c>
    </row>
    <row r="34" spans="1:17" ht="9.9" customHeight="1" x14ac:dyDescent="0.2">
      <c r="A34" s="107"/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  <c r="Q34" s="109"/>
    </row>
    <row r="35" spans="1:17" ht="20.399999999999999" x14ac:dyDescent="0.2">
      <c r="A35" s="107">
        <v>6</v>
      </c>
      <c r="B35" s="107" t="s">
        <v>42</v>
      </c>
      <c r="C35" s="107" t="s">
        <v>43</v>
      </c>
      <c r="D35" s="107">
        <v>25834</v>
      </c>
      <c r="E35" s="107" t="s">
        <v>38</v>
      </c>
      <c r="F35" s="107" t="s">
        <v>39</v>
      </c>
      <c r="G35" s="101" t="s">
        <v>44</v>
      </c>
      <c r="H35" s="101" t="s">
        <v>102</v>
      </c>
      <c r="I35" s="108"/>
      <c r="J35" s="103">
        <v>2.2160000000000002</v>
      </c>
      <c r="K35" s="103">
        <f>SUM(Elpaso_6!G9:H13)/5</f>
        <v>2.2930000000000001</v>
      </c>
      <c r="L35" s="110">
        <f>O35/M35</f>
        <v>8.1933333333333164E-2</v>
      </c>
      <c r="M35" s="114">
        <f>+Elpaso_6!F15</f>
        <v>15000000</v>
      </c>
      <c r="N35" s="128">
        <f>+M35/153</f>
        <v>98039.215686274503</v>
      </c>
      <c r="O35" s="115">
        <f>-Elpaso_6!I15</f>
        <v>1228999.9999999974</v>
      </c>
      <c r="P35" s="129">
        <f>-Elpaso_6!J15</f>
        <v>0</v>
      </c>
      <c r="Q35" s="115">
        <f>-Elpaso_6!K15</f>
        <v>1228999.9999999974</v>
      </c>
    </row>
    <row r="36" spans="1:17" ht="20.399999999999999" x14ac:dyDescent="0.2">
      <c r="A36" s="107">
        <v>6</v>
      </c>
      <c r="B36" s="107" t="s">
        <v>42</v>
      </c>
      <c r="C36" s="107" t="s">
        <v>43</v>
      </c>
      <c r="D36" s="107"/>
      <c r="E36" s="107" t="s">
        <v>36</v>
      </c>
      <c r="F36" s="107" t="s">
        <v>39</v>
      </c>
      <c r="G36" s="101" t="s">
        <v>44</v>
      </c>
      <c r="H36" s="101" t="s">
        <v>102</v>
      </c>
      <c r="I36" s="108"/>
      <c r="J36" s="103">
        <v>2.2160000000000002</v>
      </c>
      <c r="K36" s="103">
        <f>SUM(Elpaso_6!G9:H13)/5</f>
        <v>2.2930000000000001</v>
      </c>
      <c r="L36" s="138">
        <f>O36/M36</f>
        <v>8.1933333333333164E-2</v>
      </c>
      <c r="M36" s="121">
        <f>-Elpaso_6!F15</f>
        <v>-15000000</v>
      </c>
      <c r="N36" s="139">
        <f>+M36/153</f>
        <v>-98039.215686274503</v>
      </c>
      <c r="O36" s="122">
        <f>Elpaso_6!I15</f>
        <v>-1228999.9999999974</v>
      </c>
      <c r="P36" s="140">
        <f>-Elpaso_6!J26</f>
        <v>0</v>
      </c>
      <c r="Q36" s="122">
        <f>Elpaso_6!K15</f>
        <v>-1228999.9999999974</v>
      </c>
    </row>
    <row r="37" spans="1:17" x14ac:dyDescent="0.2">
      <c r="A37" s="107"/>
      <c r="B37" s="107"/>
      <c r="C37" s="107"/>
      <c r="D37" s="107"/>
      <c r="E37" s="107"/>
      <c r="F37" s="107"/>
      <c r="G37" s="101"/>
      <c r="H37" s="101"/>
      <c r="I37" s="108"/>
      <c r="J37" s="103"/>
      <c r="K37" s="103"/>
      <c r="L37" s="110">
        <f>+L35-L36</f>
        <v>0</v>
      </c>
      <c r="M37" s="114">
        <f>+M36+M35</f>
        <v>0</v>
      </c>
      <c r="N37" s="114">
        <f>+N36+N35</f>
        <v>0</v>
      </c>
      <c r="O37" s="141">
        <f>+O36+O35</f>
        <v>0</v>
      </c>
      <c r="P37" s="142">
        <f>+P36+P35</f>
        <v>0</v>
      </c>
      <c r="Q37" s="141">
        <f>+Q36+Q35</f>
        <v>0</v>
      </c>
    </row>
    <row r="38" spans="1:17" x14ac:dyDescent="0.2">
      <c r="A38" s="107"/>
      <c r="B38" s="107"/>
      <c r="C38" s="107"/>
      <c r="D38" s="107"/>
      <c r="E38" s="107"/>
      <c r="F38" s="107"/>
      <c r="G38" s="101"/>
      <c r="H38" s="101"/>
      <c r="I38" s="108"/>
      <c r="J38" s="103"/>
      <c r="K38" s="103"/>
      <c r="L38" s="110"/>
      <c r="M38" s="114"/>
      <c r="N38" s="147"/>
      <c r="O38" s="141"/>
      <c r="P38" s="142"/>
      <c r="Q38" s="141"/>
    </row>
    <row r="39" spans="1:17" x14ac:dyDescent="0.2">
      <c r="A39" s="107">
        <v>8</v>
      </c>
      <c r="B39" s="107" t="s">
        <v>42</v>
      </c>
      <c r="C39" s="107" t="s">
        <v>110</v>
      </c>
      <c r="D39" s="107">
        <v>105706</v>
      </c>
      <c r="E39" s="107" t="s">
        <v>38</v>
      </c>
      <c r="F39" s="107" t="s">
        <v>49</v>
      </c>
      <c r="G39" s="101"/>
      <c r="H39" s="101" t="s">
        <v>113</v>
      </c>
      <c r="I39" s="101"/>
      <c r="J39" s="103"/>
      <c r="K39" s="110">
        <f>SUM(MEC_8!H9:H14)/6</f>
        <v>1.8794166666666667</v>
      </c>
      <c r="L39" s="110">
        <f>O39/M39</f>
        <v>2.0990434782608696</v>
      </c>
      <c r="M39" s="114">
        <f>-MEC_8!F15</f>
        <v>-230000</v>
      </c>
      <c r="N39" s="147">
        <f>+M39/182</f>
        <v>-1263.7362637362637</v>
      </c>
      <c r="O39" s="115">
        <f>-MEC_8!I15</f>
        <v>-482780</v>
      </c>
      <c r="P39" s="129">
        <f>-MEC_8!J15</f>
        <v>-121600</v>
      </c>
      <c r="Q39" s="115">
        <f>-MEC_8!K15</f>
        <v>-361180</v>
      </c>
    </row>
    <row r="40" spans="1:17" x14ac:dyDescent="0.2">
      <c r="A40" s="107">
        <v>8</v>
      </c>
      <c r="B40" s="107" t="s">
        <v>42</v>
      </c>
      <c r="C40" s="107" t="s">
        <v>110</v>
      </c>
      <c r="D40" s="107">
        <v>105706</v>
      </c>
      <c r="E40" s="107" t="s">
        <v>38</v>
      </c>
      <c r="F40" s="107" t="s">
        <v>49</v>
      </c>
      <c r="G40" s="101"/>
      <c r="H40" s="101" t="s">
        <v>113</v>
      </c>
      <c r="I40" s="101"/>
      <c r="J40" s="103"/>
      <c r="K40" s="103">
        <f>SUM(MEC_8!H20:H25)/6</f>
        <v>1.8944166666666666</v>
      </c>
      <c r="L40" s="138">
        <f>O40/M40</f>
        <v>2.4236086956521739</v>
      </c>
      <c r="M40" s="121">
        <f>-MEC_8!F26</f>
        <v>230000</v>
      </c>
      <c r="N40" s="121">
        <f>+M40/182</f>
        <v>1263.7362637362637</v>
      </c>
      <c r="O40" s="122">
        <f>-MEC_8!I26</f>
        <v>557430</v>
      </c>
      <c r="P40" s="140">
        <f>-MEC_8!J26</f>
        <v>125239.99999999999</v>
      </c>
      <c r="Q40" s="122">
        <f>-MEC_8!K26</f>
        <v>432190</v>
      </c>
    </row>
    <row r="41" spans="1:17" x14ac:dyDescent="0.2">
      <c r="A41" s="107"/>
      <c r="B41" s="107"/>
      <c r="C41" s="107"/>
      <c r="D41" s="107"/>
      <c r="E41" s="107"/>
      <c r="F41" s="107"/>
      <c r="G41" s="101"/>
      <c r="H41" s="101"/>
      <c r="I41" s="101"/>
      <c r="J41" s="103"/>
      <c r="K41" s="103"/>
      <c r="L41" s="110">
        <f>+L39-L40</f>
        <v>-0.32456521739130428</v>
      </c>
      <c r="M41" s="114">
        <f>+M40+M39</f>
        <v>0</v>
      </c>
      <c r="N41" s="114">
        <f>+N40+N39</f>
        <v>0</v>
      </c>
      <c r="O41" s="115">
        <f>+O40+O39</f>
        <v>74650</v>
      </c>
      <c r="P41" s="129">
        <f>+P40+P39</f>
        <v>3639.9999999999854</v>
      </c>
      <c r="Q41" s="115">
        <f>+Q40+Q39</f>
        <v>71010</v>
      </c>
    </row>
    <row r="42" spans="1:17" x14ac:dyDescent="0.2">
      <c r="A42" s="107"/>
      <c r="B42" s="107"/>
      <c r="C42" s="107"/>
      <c r="D42" s="107"/>
      <c r="E42" s="107"/>
      <c r="F42" s="107"/>
      <c r="G42" s="101"/>
      <c r="H42" s="101"/>
      <c r="I42" s="108"/>
      <c r="J42" s="103"/>
      <c r="K42" s="103"/>
      <c r="L42" s="110"/>
      <c r="M42" s="114"/>
      <c r="N42" s="128"/>
      <c r="O42" s="115"/>
      <c r="P42" s="129"/>
      <c r="Q42" s="115"/>
    </row>
    <row r="43" spans="1:17" ht="10.8" thickBot="1" x14ac:dyDescent="0.25">
      <c r="A43" s="107"/>
      <c r="B43" s="107"/>
      <c r="C43" s="107"/>
      <c r="D43" s="107"/>
      <c r="E43" s="107"/>
      <c r="F43" s="107"/>
      <c r="G43" s="107"/>
      <c r="H43" s="107"/>
      <c r="I43" s="108"/>
      <c r="J43" s="108"/>
      <c r="K43" s="108"/>
      <c r="L43" s="108"/>
      <c r="M43" s="130">
        <f>+M37+M33+M29+M25+M21+M17+M13+M41</f>
        <v>0</v>
      </c>
      <c r="N43" s="130">
        <f>+N37+N33+N29+N25+N21+N17+N13+N41</f>
        <v>0</v>
      </c>
      <c r="O43" s="131">
        <f>+O37+O33+O29+O25+O21+O17+O13+O41</f>
        <v>-623456.16666666558</v>
      </c>
      <c r="P43" s="131">
        <f>+P37+P33+P29+P25+P21+P17+P13+P41</f>
        <v>-458902.50000000029</v>
      </c>
      <c r="Q43" s="131">
        <f>+Q37+Q33+Q29+Q25+Q21+Q17+Q13+Q41</f>
        <v>-164553.66666666532</v>
      </c>
    </row>
    <row r="44" spans="1:17" ht="9" customHeight="1" thickTop="1" x14ac:dyDescent="0.2">
      <c r="A44" s="132"/>
      <c r="B44" s="132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4"/>
      <c r="Q44" s="134"/>
    </row>
    <row r="45" spans="1:17" x14ac:dyDescent="0.2">
      <c r="A45" s="135"/>
      <c r="B45" s="135"/>
    </row>
    <row r="46" spans="1:17" s="79" customFormat="1" x14ac:dyDescent="0.2">
      <c r="A46" s="78" t="s">
        <v>45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1:17" s="79" customFormat="1" x14ac:dyDescent="0.2">
      <c r="A47" s="78" t="s">
        <v>2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1:17" x14ac:dyDescent="0.2">
      <c r="B48" s="135"/>
    </row>
    <row r="49" spans="1:17" s="87" customFormat="1" x14ac:dyDescent="0.2">
      <c r="A49" s="82" t="s">
        <v>3</v>
      </c>
      <c r="B49" s="83" t="s">
        <v>4</v>
      </c>
      <c r="C49" s="83" t="s">
        <v>5</v>
      </c>
      <c r="D49" s="83" t="s">
        <v>5</v>
      </c>
      <c r="E49" s="83" t="s">
        <v>5</v>
      </c>
      <c r="F49" s="83" t="s">
        <v>6</v>
      </c>
      <c r="G49" s="83" t="s">
        <v>17</v>
      </c>
      <c r="H49" s="83" t="s">
        <v>8</v>
      </c>
      <c r="I49" s="83" t="s">
        <v>9</v>
      </c>
      <c r="J49" s="83" t="s">
        <v>5</v>
      </c>
      <c r="K49" s="83" t="s">
        <v>10</v>
      </c>
      <c r="L49" s="83" t="s">
        <v>11</v>
      </c>
      <c r="M49" s="83" t="s">
        <v>5</v>
      </c>
      <c r="N49" s="83" t="s">
        <v>12</v>
      </c>
      <c r="O49" s="84"/>
      <c r="P49" s="85"/>
      <c r="Q49" s="86"/>
    </row>
    <row r="50" spans="1:17" s="87" customFormat="1" x14ac:dyDescent="0.2">
      <c r="A50" s="88" t="s">
        <v>13</v>
      </c>
      <c r="B50" s="89" t="s">
        <v>14</v>
      </c>
      <c r="C50" s="89" t="s">
        <v>14</v>
      </c>
      <c r="D50" s="89" t="s">
        <v>15</v>
      </c>
      <c r="E50" s="89" t="s">
        <v>16</v>
      </c>
      <c r="F50" s="89"/>
      <c r="G50" s="89" t="s">
        <v>25</v>
      </c>
      <c r="H50" s="89" t="s">
        <v>18</v>
      </c>
      <c r="I50" s="89" t="s">
        <v>18</v>
      </c>
      <c r="J50" s="89" t="s">
        <v>19</v>
      </c>
      <c r="K50" s="89" t="s">
        <v>20</v>
      </c>
      <c r="L50" s="89"/>
      <c r="M50" s="89" t="s">
        <v>21</v>
      </c>
      <c r="N50" s="89" t="s">
        <v>22</v>
      </c>
      <c r="O50" s="90" t="s">
        <v>23</v>
      </c>
      <c r="P50" s="91"/>
      <c r="Q50" s="92"/>
    </row>
    <row r="51" spans="1:17" s="87" customFormat="1" x14ac:dyDescent="0.2">
      <c r="A51" s="88"/>
      <c r="B51" s="89"/>
      <c r="C51" s="89"/>
      <c r="D51" s="89"/>
      <c r="E51" s="89" t="s">
        <v>46</v>
      </c>
      <c r="F51" s="89"/>
      <c r="G51" s="89"/>
      <c r="H51" s="89"/>
      <c r="I51" s="89"/>
      <c r="J51" s="89"/>
      <c r="K51" s="89" t="s">
        <v>26</v>
      </c>
      <c r="L51" s="89"/>
      <c r="M51" s="89" t="s">
        <v>47</v>
      </c>
      <c r="N51" s="89"/>
      <c r="O51" s="94" t="s">
        <v>28</v>
      </c>
      <c r="P51" s="94" t="s">
        <v>29</v>
      </c>
      <c r="Q51" s="95" t="s">
        <v>30</v>
      </c>
    </row>
    <row r="52" spans="1:17" s="87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 t="s">
        <v>31</v>
      </c>
      <c r="L52" s="89"/>
      <c r="M52" s="89" t="s">
        <v>48</v>
      </c>
      <c r="N52" s="136"/>
      <c r="O52" s="97" t="s">
        <v>33</v>
      </c>
      <c r="P52" s="97" t="s">
        <v>33</v>
      </c>
      <c r="Q52" s="98" t="s">
        <v>33</v>
      </c>
    </row>
    <row r="53" spans="1:17" x14ac:dyDescent="0.2">
      <c r="A53" s="99">
        <v>1</v>
      </c>
      <c r="B53" s="99" t="s">
        <v>34</v>
      </c>
      <c r="C53" s="99" t="s">
        <v>37</v>
      </c>
      <c r="D53" s="99">
        <v>26125</v>
      </c>
      <c r="E53" s="99" t="s">
        <v>38</v>
      </c>
      <c r="F53" s="99" t="s">
        <v>49</v>
      </c>
      <c r="G53" s="100"/>
      <c r="H53" s="100"/>
      <c r="I53" s="99" t="s">
        <v>108</v>
      </c>
      <c r="J53" s="100"/>
      <c r="K53" s="100"/>
      <c r="L53" s="100"/>
      <c r="M53" s="104">
        <v>-273750</v>
      </c>
      <c r="N53" s="104">
        <f>(+M53/1095)</f>
        <v>-250</v>
      </c>
      <c r="O53" s="100"/>
      <c r="P53" s="109"/>
      <c r="Q53" s="109"/>
    </row>
    <row r="54" spans="1:17" ht="9" customHeight="1" x14ac:dyDescent="0.2">
      <c r="A54" s="108"/>
      <c r="B54" s="108"/>
      <c r="C54" s="108"/>
      <c r="D54" s="108"/>
      <c r="E54" s="108"/>
      <c r="F54" s="107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</row>
    <row r="55" spans="1:17" ht="12" customHeight="1" x14ac:dyDescent="0.2">
      <c r="A55" s="107">
        <v>7</v>
      </c>
      <c r="B55" s="107" t="s">
        <v>34</v>
      </c>
      <c r="C55" s="107" t="s">
        <v>105</v>
      </c>
      <c r="D55" s="108"/>
      <c r="E55" s="107" t="s">
        <v>38</v>
      </c>
      <c r="F55" s="107" t="s">
        <v>49</v>
      </c>
      <c r="G55" s="108"/>
      <c r="H55" s="108"/>
      <c r="I55" s="107" t="s">
        <v>101</v>
      </c>
      <c r="J55" s="108"/>
      <c r="K55" s="108"/>
      <c r="L55" s="108"/>
      <c r="M55" s="114">
        <v>5475000</v>
      </c>
      <c r="N55" s="114">
        <f>+M55/365</f>
        <v>15000</v>
      </c>
      <c r="O55" s="108"/>
      <c r="P55" s="109"/>
      <c r="Q55" s="109"/>
    </row>
    <row r="56" spans="1:17" ht="9" customHeight="1" x14ac:dyDescent="0.2">
      <c r="A56" s="108"/>
      <c r="B56" s="108"/>
      <c r="C56" s="108"/>
      <c r="D56" s="108"/>
      <c r="E56" s="108"/>
      <c r="F56" s="107"/>
      <c r="G56" s="108"/>
      <c r="H56" s="108"/>
      <c r="I56" s="108"/>
      <c r="J56" s="108"/>
      <c r="K56" s="108"/>
      <c r="L56" s="108"/>
      <c r="M56" s="108"/>
      <c r="N56" s="108"/>
      <c r="O56" s="108"/>
      <c r="P56" s="109"/>
      <c r="Q56" s="109"/>
    </row>
    <row r="57" spans="1:17" x14ac:dyDescent="0.2">
      <c r="A57" s="107">
        <v>3</v>
      </c>
      <c r="B57" s="107" t="s">
        <v>42</v>
      </c>
      <c r="C57" s="107" t="s">
        <v>51</v>
      </c>
      <c r="D57" s="107">
        <v>101021</v>
      </c>
      <c r="E57" s="107" t="s">
        <v>38</v>
      </c>
      <c r="F57" s="107" t="s">
        <v>49</v>
      </c>
      <c r="G57" s="108"/>
      <c r="H57" s="108"/>
      <c r="I57" s="107" t="s">
        <v>103</v>
      </c>
      <c r="J57" s="108"/>
      <c r="K57" s="108"/>
      <c r="L57" s="108"/>
      <c r="M57" s="114">
        <v>923648.25</v>
      </c>
      <c r="N57" s="114">
        <f>+M57/2240</f>
        <v>412.34296875000001</v>
      </c>
      <c r="O57" s="108"/>
      <c r="P57" s="109"/>
      <c r="Q57" s="109"/>
    </row>
    <row r="58" spans="1:17" ht="9" customHeight="1" x14ac:dyDescent="0.2">
      <c r="A58" s="108"/>
      <c r="B58" s="108"/>
      <c r="C58" s="108"/>
      <c r="D58" s="107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 s="109"/>
    </row>
    <row r="59" spans="1:17" x14ac:dyDescent="0.2">
      <c r="A59" s="107">
        <v>4</v>
      </c>
      <c r="B59" s="107" t="s">
        <v>42</v>
      </c>
      <c r="C59" s="107" t="s">
        <v>51</v>
      </c>
      <c r="D59" s="107">
        <v>101073</v>
      </c>
      <c r="E59" s="107" t="s">
        <v>38</v>
      </c>
      <c r="F59" s="107" t="s">
        <v>49</v>
      </c>
      <c r="G59" s="108"/>
      <c r="H59" s="108"/>
      <c r="I59" s="107" t="s">
        <v>103</v>
      </c>
      <c r="J59" s="108"/>
      <c r="K59" s="108"/>
      <c r="L59" s="108"/>
      <c r="M59" s="114">
        <v>164380.4375</v>
      </c>
      <c r="N59" s="114">
        <f>+M59/2230</f>
        <v>73.71320067264574</v>
      </c>
      <c r="O59" s="108"/>
      <c r="P59" s="109"/>
      <c r="Q59" s="109"/>
    </row>
    <row r="60" spans="1:17" ht="9" customHeight="1" x14ac:dyDescent="0.2">
      <c r="A60" s="107"/>
      <c r="B60" s="107"/>
      <c r="C60" s="107"/>
      <c r="D60" s="107"/>
      <c r="E60" s="107"/>
      <c r="F60" s="107"/>
      <c r="G60" s="108"/>
      <c r="H60" s="108"/>
      <c r="I60" s="107"/>
      <c r="J60" s="108"/>
      <c r="K60" s="108"/>
      <c r="L60" s="108"/>
      <c r="M60" s="108"/>
      <c r="N60" s="108"/>
      <c r="O60" s="108"/>
      <c r="P60" s="109"/>
      <c r="Q60" s="109"/>
    </row>
    <row r="61" spans="1:17" ht="20.399999999999999" x14ac:dyDescent="0.2">
      <c r="A61" s="107">
        <v>5</v>
      </c>
      <c r="B61" s="107" t="s">
        <v>42</v>
      </c>
      <c r="C61" s="107" t="s">
        <v>52</v>
      </c>
      <c r="D61" s="107">
        <v>22064</v>
      </c>
      <c r="E61" s="107" t="s">
        <v>38</v>
      </c>
      <c r="F61" s="107" t="s">
        <v>49</v>
      </c>
      <c r="G61" s="108"/>
      <c r="H61" s="108"/>
      <c r="I61" s="101" t="s">
        <v>104</v>
      </c>
      <c r="J61" s="108"/>
      <c r="K61" s="108"/>
      <c r="L61" s="108"/>
      <c r="M61" s="114">
        <v>-3900</v>
      </c>
      <c r="N61" s="114">
        <f>+M61/397</f>
        <v>-9.8236775818639792</v>
      </c>
      <c r="O61" s="108"/>
      <c r="P61" s="109"/>
      <c r="Q61" s="109"/>
    </row>
    <row r="62" spans="1:17" ht="9" customHeight="1" x14ac:dyDescent="0.2">
      <c r="A62" s="107"/>
      <c r="B62" s="107"/>
      <c r="C62" s="107"/>
      <c r="D62" s="107"/>
      <c r="E62" s="107"/>
      <c r="F62" s="107"/>
      <c r="G62" s="108"/>
      <c r="H62" s="108"/>
      <c r="I62" s="107"/>
      <c r="J62" s="108"/>
      <c r="K62" s="108"/>
      <c r="L62" s="108"/>
      <c r="M62" s="114"/>
      <c r="N62" s="114"/>
      <c r="O62" s="108"/>
      <c r="P62" s="109"/>
      <c r="Q62" s="109"/>
    </row>
    <row r="63" spans="1:17" ht="10.8" thickBot="1" x14ac:dyDescent="0.25">
      <c r="A63" s="107"/>
      <c r="B63" s="107"/>
      <c r="C63" s="107"/>
      <c r="D63" s="107"/>
      <c r="E63" s="107"/>
      <c r="F63" s="107"/>
      <c r="G63" s="108"/>
      <c r="H63" s="108"/>
      <c r="I63" s="107"/>
      <c r="J63" s="108"/>
      <c r="K63" s="108"/>
      <c r="L63" s="108"/>
      <c r="M63" s="137">
        <f>SUM(M53:M61)</f>
        <v>6285378.6875</v>
      </c>
      <c r="N63" s="137">
        <f>SUM(N53:N61)</f>
        <v>15226.232491840781</v>
      </c>
      <c r="O63" s="108"/>
      <c r="P63" s="109"/>
      <c r="Q63" s="109"/>
    </row>
    <row r="64" spans="1:17" ht="9" customHeight="1" thickTop="1" x14ac:dyDescent="0.2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4"/>
      <c r="Q64" s="134"/>
    </row>
    <row r="65" spans="1:13" ht="13.2" x14ac:dyDescent="0.25">
      <c r="M65" s="148"/>
    </row>
    <row r="66" spans="1:13" s="29" customFormat="1" x14ac:dyDescent="0.2">
      <c r="A66" s="29" t="s">
        <v>53</v>
      </c>
      <c r="C66" s="29" t="s">
        <v>54</v>
      </c>
    </row>
    <row r="67" spans="1:13" s="29" customFormat="1" x14ac:dyDescent="0.2">
      <c r="C67" s="29" t="s">
        <v>55</v>
      </c>
    </row>
    <row r="68" spans="1:13" s="29" customFormat="1" x14ac:dyDescent="0.2">
      <c r="A68" s="29" t="s">
        <v>56</v>
      </c>
    </row>
    <row r="69" spans="1:13" x14ac:dyDescent="0.2">
      <c r="A69" s="29" t="s">
        <v>57</v>
      </c>
    </row>
    <row r="70" spans="1:13" x14ac:dyDescent="0.2">
      <c r="A70" s="29" t="s">
        <v>58</v>
      </c>
    </row>
    <row r="71" spans="1:13" x14ac:dyDescent="0.2">
      <c r="A71" s="29" t="s">
        <v>59</v>
      </c>
      <c r="B71" s="29"/>
      <c r="C71" s="29"/>
    </row>
    <row r="72" spans="1:13" x14ac:dyDescent="0.2">
      <c r="A72" s="29" t="s">
        <v>60</v>
      </c>
      <c r="B72" s="29"/>
      <c r="C72" s="29"/>
    </row>
  </sheetData>
  <printOptions horizontalCentered="1" verticalCentered="1"/>
  <pageMargins left="0.25" right="0.25" top="0.18" bottom="0.35" header="0.5" footer="0.22"/>
  <pageSetup scale="7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E310"/>
  <sheetViews>
    <sheetView workbookViewId="0">
      <selection activeCell="C1" sqref="C1:C65536"/>
    </sheetView>
  </sheetViews>
  <sheetFormatPr defaultRowHeight="13.2" x14ac:dyDescent="0.25"/>
  <cols>
    <col min="2" max="2" width="11.109375" customWidth="1"/>
    <col min="3" max="3" width="10" customWidth="1"/>
    <col min="4" max="4" width="12" customWidth="1"/>
  </cols>
  <sheetData>
    <row r="5" spans="1:109" s="39" customFormat="1" x14ac:dyDescent="0.25">
      <c r="B5" s="39" t="s">
        <v>90</v>
      </c>
    </row>
    <row r="6" spans="1:109" s="39" customFormat="1" x14ac:dyDescent="0.25">
      <c r="B6" s="39" t="s">
        <v>91</v>
      </c>
      <c r="D6" s="39" t="s">
        <v>92</v>
      </c>
      <c r="E6" s="39" t="s">
        <v>5</v>
      </c>
      <c r="G6" s="64">
        <v>36100</v>
      </c>
      <c r="H6" s="64">
        <v>36130</v>
      </c>
      <c r="I6" s="64">
        <v>36161</v>
      </c>
      <c r="J6" s="64">
        <v>36192</v>
      </c>
      <c r="K6" s="64">
        <v>36220</v>
      </c>
      <c r="L6" s="64">
        <v>36251</v>
      </c>
      <c r="M6" s="64">
        <v>36281</v>
      </c>
      <c r="N6" s="64">
        <v>36312</v>
      </c>
      <c r="O6" s="64">
        <v>36342</v>
      </c>
      <c r="P6" s="64">
        <v>36373</v>
      </c>
      <c r="Q6" s="64">
        <v>36404</v>
      </c>
      <c r="R6" s="64">
        <v>36434</v>
      </c>
      <c r="S6" s="64">
        <v>36465</v>
      </c>
      <c r="T6" s="64">
        <v>36495</v>
      </c>
      <c r="U6" s="64">
        <v>36526</v>
      </c>
      <c r="V6" s="64">
        <v>36557</v>
      </c>
      <c r="W6" s="64">
        <v>36586</v>
      </c>
      <c r="X6" s="64">
        <v>36617</v>
      </c>
      <c r="Y6" s="64">
        <v>36647</v>
      </c>
      <c r="Z6" s="64">
        <v>36678</v>
      </c>
      <c r="AA6" s="64">
        <v>36708</v>
      </c>
      <c r="AB6" s="64">
        <v>36739</v>
      </c>
      <c r="AC6" s="64">
        <v>36770</v>
      </c>
      <c r="AD6" s="64">
        <v>36800</v>
      </c>
      <c r="AE6" s="64">
        <v>36831</v>
      </c>
      <c r="AF6" s="64">
        <v>36861</v>
      </c>
      <c r="AG6" s="64">
        <v>36892</v>
      </c>
      <c r="AH6" s="64">
        <v>36923</v>
      </c>
      <c r="AI6" s="64">
        <v>36951</v>
      </c>
      <c r="AJ6" s="64">
        <v>36982</v>
      </c>
      <c r="AK6" s="64">
        <v>37012</v>
      </c>
      <c r="AL6" s="64">
        <v>37043</v>
      </c>
      <c r="AM6" s="64">
        <v>37073</v>
      </c>
      <c r="AN6" s="64">
        <v>37104</v>
      </c>
      <c r="AO6" s="64">
        <v>37135</v>
      </c>
      <c r="AP6" s="64">
        <v>37165</v>
      </c>
      <c r="AQ6" s="64">
        <v>37196</v>
      </c>
      <c r="AR6" s="64">
        <v>37226</v>
      </c>
      <c r="AS6" s="64">
        <v>37257</v>
      </c>
      <c r="AT6" s="64">
        <v>37288</v>
      </c>
      <c r="AU6" s="64">
        <v>37316</v>
      </c>
      <c r="AV6" s="64">
        <v>37347</v>
      </c>
      <c r="AW6" s="64">
        <v>37377</v>
      </c>
      <c r="AX6" s="64">
        <v>37408</v>
      </c>
      <c r="AY6" s="64">
        <v>37438</v>
      </c>
      <c r="AZ6" s="64">
        <v>37469</v>
      </c>
      <c r="BA6" s="64">
        <v>37500</v>
      </c>
      <c r="BB6" s="64">
        <v>37530</v>
      </c>
      <c r="BC6" s="64">
        <v>37561</v>
      </c>
      <c r="BD6" s="64">
        <v>37591</v>
      </c>
      <c r="BE6" s="64">
        <v>37622</v>
      </c>
      <c r="BF6" s="64">
        <v>37653</v>
      </c>
      <c r="BG6" s="64">
        <v>37681</v>
      </c>
      <c r="BH6" s="64">
        <v>37712</v>
      </c>
      <c r="BI6" s="64">
        <v>37742</v>
      </c>
      <c r="BJ6" s="64">
        <v>37773</v>
      </c>
      <c r="BK6" s="64">
        <v>37803</v>
      </c>
      <c r="BL6" s="64">
        <v>37834</v>
      </c>
      <c r="BM6" s="64">
        <v>37865</v>
      </c>
      <c r="BN6" s="64">
        <v>37895</v>
      </c>
      <c r="BO6" s="64">
        <v>37926</v>
      </c>
      <c r="BP6" s="64">
        <v>37956</v>
      </c>
      <c r="BQ6" s="64">
        <v>37987</v>
      </c>
      <c r="BR6" s="64">
        <v>38018</v>
      </c>
      <c r="BS6" s="64">
        <v>38047</v>
      </c>
      <c r="BT6" s="64">
        <v>38078</v>
      </c>
      <c r="BU6" s="64">
        <v>38108</v>
      </c>
      <c r="BV6" s="64">
        <v>38139</v>
      </c>
      <c r="BW6" s="64">
        <v>38169</v>
      </c>
      <c r="BX6" s="64">
        <v>38200</v>
      </c>
      <c r="BY6" s="64">
        <v>38231</v>
      </c>
      <c r="BZ6" s="64">
        <v>38261</v>
      </c>
      <c r="CA6" s="64">
        <v>38292</v>
      </c>
      <c r="CB6" s="64">
        <v>38322</v>
      </c>
      <c r="CC6" s="64">
        <v>38353</v>
      </c>
      <c r="CD6" s="64">
        <v>38384</v>
      </c>
      <c r="CE6" s="64">
        <v>38412</v>
      </c>
      <c r="CF6" s="64">
        <v>38443</v>
      </c>
      <c r="CG6" s="64">
        <v>38473</v>
      </c>
      <c r="CH6" s="64">
        <v>38504</v>
      </c>
      <c r="CI6" s="64">
        <v>38534</v>
      </c>
      <c r="CJ6" s="64">
        <v>38565</v>
      </c>
      <c r="CK6" s="64">
        <v>38596</v>
      </c>
      <c r="CL6" s="64">
        <v>38626</v>
      </c>
      <c r="CM6" s="64">
        <v>38657</v>
      </c>
      <c r="CN6" s="64">
        <v>38687</v>
      </c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</row>
    <row r="7" spans="1:109" x14ac:dyDescent="0.25">
      <c r="A7" s="56">
        <v>36100</v>
      </c>
      <c r="B7" s="58">
        <v>5137.3500000000004</v>
      </c>
      <c r="C7" s="56" t="s">
        <v>42</v>
      </c>
      <c r="D7" s="56" t="s">
        <v>51</v>
      </c>
      <c r="E7" s="57">
        <v>101073</v>
      </c>
      <c r="G7" s="58">
        <v>74632</v>
      </c>
      <c r="H7" s="58">
        <v>77120</v>
      </c>
      <c r="I7" s="58">
        <v>77120</v>
      </c>
      <c r="J7" s="58">
        <v>69657</v>
      </c>
      <c r="K7" s="58">
        <v>77120</v>
      </c>
      <c r="L7" s="58">
        <v>74632</v>
      </c>
      <c r="M7" s="58">
        <v>77120</v>
      </c>
      <c r="N7" s="58">
        <v>74632</v>
      </c>
      <c r="O7" s="58">
        <v>77120</v>
      </c>
      <c r="P7" s="58">
        <v>77120</v>
      </c>
      <c r="Q7" s="58">
        <v>74632</v>
      </c>
      <c r="R7" s="58">
        <v>77120</v>
      </c>
      <c r="S7" s="58">
        <v>74632</v>
      </c>
      <c r="T7" s="58">
        <v>77120</v>
      </c>
      <c r="U7" s="58">
        <v>22541</v>
      </c>
      <c r="V7" s="58">
        <v>21337</v>
      </c>
      <c r="W7" s="58">
        <v>22541</v>
      </c>
      <c r="X7" s="58">
        <v>21814</v>
      </c>
      <c r="Y7" s="58">
        <v>22541</v>
      </c>
      <c r="Z7" s="58">
        <v>21814</v>
      </c>
      <c r="AA7" s="58">
        <v>22541</v>
      </c>
      <c r="AB7" s="58">
        <v>22541</v>
      </c>
      <c r="AC7" s="58">
        <v>21814</v>
      </c>
      <c r="AD7" s="58">
        <v>22541</v>
      </c>
      <c r="AE7" s="58">
        <v>21814</v>
      </c>
      <c r="AF7" s="58">
        <v>22541</v>
      </c>
      <c r="AG7" s="58">
        <v>20767</v>
      </c>
      <c r="AH7" s="58">
        <v>18757</v>
      </c>
      <c r="AI7" s="58">
        <v>20767</v>
      </c>
      <c r="AJ7" s="58">
        <v>20097</v>
      </c>
      <c r="AK7" s="58">
        <v>20767</v>
      </c>
      <c r="AL7" s="58">
        <v>20097</v>
      </c>
      <c r="AM7" s="58">
        <v>20767</v>
      </c>
      <c r="AN7" s="58">
        <v>20767</v>
      </c>
      <c r="AO7" s="58">
        <v>20097</v>
      </c>
      <c r="AP7" s="58">
        <v>20767</v>
      </c>
      <c r="AQ7" s="58">
        <v>20097</v>
      </c>
      <c r="AR7" s="58">
        <v>20767</v>
      </c>
      <c r="AS7" s="58">
        <v>20767</v>
      </c>
      <c r="AT7" s="58">
        <v>18757</v>
      </c>
      <c r="AU7" s="58">
        <v>20767</v>
      </c>
      <c r="AV7" s="58">
        <v>20097</v>
      </c>
      <c r="AW7" s="58">
        <v>20767</v>
      </c>
      <c r="AX7" s="58">
        <v>20097</v>
      </c>
      <c r="AY7" s="58">
        <v>20767</v>
      </c>
      <c r="AZ7" s="58">
        <v>20767</v>
      </c>
      <c r="BA7" s="58">
        <v>20097</v>
      </c>
      <c r="BB7" s="58">
        <v>20767</v>
      </c>
      <c r="BC7" s="58">
        <v>20097</v>
      </c>
      <c r="BD7" s="58">
        <v>20767</v>
      </c>
      <c r="BE7" s="58">
        <v>19543</v>
      </c>
      <c r="BF7" s="58">
        <v>17651</v>
      </c>
      <c r="BG7" s="58">
        <v>19543</v>
      </c>
      <c r="BH7" s="58">
        <v>18912</v>
      </c>
      <c r="BI7" s="58">
        <v>19543</v>
      </c>
      <c r="BJ7" s="58">
        <v>26412</v>
      </c>
      <c r="BK7" s="58">
        <v>27293</v>
      </c>
      <c r="BL7" s="58">
        <v>27293</v>
      </c>
      <c r="BM7" s="58">
        <v>26412</v>
      </c>
      <c r="BN7" s="58">
        <v>27293</v>
      </c>
      <c r="BO7" s="58">
        <v>26412</v>
      </c>
      <c r="BP7" s="58">
        <v>27293</v>
      </c>
      <c r="BQ7" s="58">
        <v>26927</v>
      </c>
      <c r="BR7" s="58">
        <v>24321</v>
      </c>
      <c r="BS7" s="58">
        <v>26927</v>
      </c>
      <c r="BT7" s="58">
        <v>26058</v>
      </c>
      <c r="BU7" s="58">
        <v>26927</v>
      </c>
      <c r="BV7" s="58">
        <v>26058</v>
      </c>
      <c r="BW7" s="58">
        <v>26927</v>
      </c>
      <c r="BX7" s="58">
        <v>26927</v>
      </c>
      <c r="BY7" s="58">
        <v>26058</v>
      </c>
      <c r="BZ7" s="58">
        <v>26927</v>
      </c>
      <c r="CA7" s="58">
        <v>26058</v>
      </c>
      <c r="CB7" s="58">
        <v>26927</v>
      </c>
      <c r="CC7" s="58">
        <v>26927</v>
      </c>
      <c r="CD7" s="58">
        <v>24321</v>
      </c>
      <c r="CE7" s="58">
        <v>26927</v>
      </c>
      <c r="CF7" s="58">
        <v>26058</v>
      </c>
      <c r="CG7" s="58">
        <v>26927</v>
      </c>
      <c r="CH7" s="58">
        <v>26058</v>
      </c>
      <c r="CI7" s="58">
        <v>26927</v>
      </c>
      <c r="CJ7" s="58">
        <v>26927</v>
      </c>
      <c r="CK7" s="58">
        <v>26058</v>
      </c>
      <c r="CL7" s="58">
        <v>26927</v>
      </c>
      <c r="CM7" s="58">
        <v>26058</v>
      </c>
      <c r="CN7" s="58">
        <v>26927</v>
      </c>
    </row>
    <row r="8" spans="1:109" x14ac:dyDescent="0.25">
      <c r="A8" s="56">
        <v>36100</v>
      </c>
      <c r="B8" s="58">
        <v>24885</v>
      </c>
      <c r="C8" s="56" t="s">
        <v>42</v>
      </c>
      <c r="D8" s="56" t="s">
        <v>51</v>
      </c>
      <c r="E8" s="57">
        <v>101021</v>
      </c>
      <c r="F8" s="58"/>
      <c r="G8" s="59"/>
      <c r="H8" s="59"/>
      <c r="I8" s="60"/>
      <c r="J8" s="58"/>
      <c r="R8" s="61">
        <f>SUM(G7:R7)</f>
        <v>908025</v>
      </c>
      <c r="S8" s="61">
        <f t="shared" ref="S8:AH8" si="0">SUM(H7:S7)</f>
        <v>908025</v>
      </c>
      <c r="T8" s="61">
        <f t="shared" si="0"/>
        <v>908025</v>
      </c>
      <c r="U8" s="61">
        <f t="shared" si="0"/>
        <v>853446</v>
      </c>
      <c r="V8" s="61">
        <f t="shared" si="0"/>
        <v>805126</v>
      </c>
      <c r="W8" s="61">
        <f t="shared" si="0"/>
        <v>750547</v>
      </c>
      <c r="X8" s="61">
        <f t="shared" si="0"/>
        <v>697729</v>
      </c>
      <c r="Y8" s="61">
        <f t="shared" si="0"/>
        <v>643150</v>
      </c>
      <c r="Z8" s="61">
        <f t="shared" si="0"/>
        <v>590332</v>
      </c>
      <c r="AA8" s="61">
        <f t="shared" si="0"/>
        <v>535753</v>
      </c>
      <c r="AB8" s="61">
        <f t="shared" si="0"/>
        <v>481174</v>
      </c>
      <c r="AC8" s="61">
        <f t="shared" si="0"/>
        <v>428356</v>
      </c>
      <c r="AD8" s="61">
        <f t="shared" si="0"/>
        <v>373777</v>
      </c>
      <c r="AE8" s="61">
        <f t="shared" si="0"/>
        <v>320959</v>
      </c>
      <c r="AF8" s="61">
        <f t="shared" si="0"/>
        <v>266380</v>
      </c>
      <c r="AG8" s="61">
        <f t="shared" si="0"/>
        <v>264606</v>
      </c>
      <c r="AH8" s="61">
        <f t="shared" si="0"/>
        <v>262026</v>
      </c>
      <c r="AI8" s="61">
        <f t="shared" ref="AI8:AX8" si="1">SUM(X7:AI7)</f>
        <v>260252</v>
      </c>
      <c r="AJ8" s="61">
        <f t="shared" si="1"/>
        <v>258535</v>
      </c>
      <c r="AK8" s="61">
        <f t="shared" si="1"/>
        <v>256761</v>
      </c>
      <c r="AL8" s="61">
        <f t="shared" si="1"/>
        <v>255044</v>
      </c>
      <c r="AM8" s="61">
        <f t="shared" si="1"/>
        <v>253270</v>
      </c>
      <c r="AN8" s="61">
        <f t="shared" si="1"/>
        <v>251496</v>
      </c>
      <c r="AO8" s="61">
        <f t="shared" si="1"/>
        <v>249779</v>
      </c>
      <c r="AP8" s="61">
        <f t="shared" si="1"/>
        <v>248005</v>
      </c>
      <c r="AQ8" s="61">
        <f t="shared" si="1"/>
        <v>246288</v>
      </c>
      <c r="AR8" s="61">
        <f t="shared" si="1"/>
        <v>244514</v>
      </c>
      <c r="AS8" s="61">
        <f t="shared" si="1"/>
        <v>244514</v>
      </c>
      <c r="AT8" s="61">
        <f t="shared" si="1"/>
        <v>244514</v>
      </c>
      <c r="AU8" s="61">
        <f t="shared" si="1"/>
        <v>244514</v>
      </c>
      <c r="AV8" s="61">
        <f t="shared" si="1"/>
        <v>244514</v>
      </c>
      <c r="AW8" s="61">
        <f t="shared" si="1"/>
        <v>244514</v>
      </c>
      <c r="AX8" s="61">
        <f t="shared" si="1"/>
        <v>244514</v>
      </c>
      <c r="AY8" s="61">
        <f t="shared" ref="AY8:BN8" si="2">SUM(AN7:AY7)</f>
        <v>244514</v>
      </c>
      <c r="AZ8" s="61">
        <f t="shared" si="2"/>
        <v>244514</v>
      </c>
      <c r="BA8" s="61">
        <f t="shared" si="2"/>
        <v>244514</v>
      </c>
      <c r="BB8" s="61">
        <f t="shared" si="2"/>
        <v>244514</v>
      </c>
      <c r="BC8" s="61">
        <f t="shared" si="2"/>
        <v>244514</v>
      </c>
      <c r="BD8" s="61">
        <f t="shared" si="2"/>
        <v>244514</v>
      </c>
      <c r="BE8" s="61">
        <f t="shared" si="2"/>
        <v>243290</v>
      </c>
      <c r="BF8" s="61">
        <f t="shared" si="2"/>
        <v>242184</v>
      </c>
      <c r="BG8" s="61">
        <f t="shared" si="2"/>
        <v>240960</v>
      </c>
      <c r="BH8" s="61">
        <f t="shared" si="2"/>
        <v>239775</v>
      </c>
      <c r="BI8" s="61">
        <f t="shared" si="2"/>
        <v>238551</v>
      </c>
      <c r="BJ8" s="61">
        <f t="shared" si="2"/>
        <v>244866</v>
      </c>
      <c r="BK8" s="61">
        <f t="shared" si="2"/>
        <v>251392</v>
      </c>
      <c r="BL8" s="61">
        <f t="shared" si="2"/>
        <v>257918</v>
      </c>
      <c r="BM8" s="61">
        <f t="shared" si="2"/>
        <v>264233</v>
      </c>
      <c r="BN8" s="61">
        <f t="shared" si="2"/>
        <v>270759</v>
      </c>
      <c r="BO8" s="61">
        <f t="shared" ref="BO8:CD8" si="3">SUM(BD7:BO7)</f>
        <v>277074</v>
      </c>
      <c r="BP8" s="61">
        <f t="shared" si="3"/>
        <v>283600</v>
      </c>
      <c r="BQ8" s="61">
        <f t="shared" si="3"/>
        <v>290984</v>
      </c>
      <c r="BR8" s="61">
        <f t="shared" si="3"/>
        <v>297654</v>
      </c>
      <c r="BS8" s="61">
        <f t="shared" si="3"/>
        <v>305038</v>
      </c>
      <c r="BT8" s="61">
        <f t="shared" si="3"/>
        <v>312184</v>
      </c>
      <c r="BU8" s="61">
        <f t="shared" si="3"/>
        <v>319568</v>
      </c>
      <c r="BV8" s="61">
        <f t="shared" si="3"/>
        <v>319214</v>
      </c>
      <c r="BW8" s="61">
        <f t="shared" si="3"/>
        <v>318848</v>
      </c>
      <c r="BX8" s="61">
        <f t="shared" si="3"/>
        <v>318482</v>
      </c>
      <c r="BY8" s="61">
        <f t="shared" si="3"/>
        <v>318128</v>
      </c>
      <c r="BZ8" s="61">
        <f t="shared" si="3"/>
        <v>317762</v>
      </c>
      <c r="CA8" s="61">
        <f t="shared" si="3"/>
        <v>317408</v>
      </c>
      <c r="CB8" s="61">
        <f t="shared" si="3"/>
        <v>317042</v>
      </c>
      <c r="CC8" s="61">
        <f t="shared" si="3"/>
        <v>317042</v>
      </c>
      <c r="CD8" s="61">
        <f t="shared" si="3"/>
        <v>317042</v>
      </c>
      <c r="CE8" s="61">
        <f t="shared" ref="CE8:CN8" si="4">SUM(BT7:CE7)</f>
        <v>317042</v>
      </c>
      <c r="CF8" s="61">
        <f t="shared" si="4"/>
        <v>317042</v>
      </c>
      <c r="CG8" s="61">
        <f t="shared" si="4"/>
        <v>317042</v>
      </c>
      <c r="CH8" s="61">
        <f t="shared" si="4"/>
        <v>317042</v>
      </c>
      <c r="CI8" s="61">
        <f t="shared" si="4"/>
        <v>317042</v>
      </c>
      <c r="CJ8" s="61">
        <f t="shared" si="4"/>
        <v>317042</v>
      </c>
      <c r="CK8" s="61">
        <f t="shared" si="4"/>
        <v>317042</v>
      </c>
      <c r="CL8" s="61">
        <f t="shared" si="4"/>
        <v>317042</v>
      </c>
      <c r="CM8" s="61">
        <f t="shared" si="4"/>
        <v>317042</v>
      </c>
      <c r="CN8" s="61">
        <f t="shared" si="4"/>
        <v>317042</v>
      </c>
    </row>
    <row r="9" spans="1:109" x14ac:dyDescent="0.25">
      <c r="A9" s="56">
        <v>36100</v>
      </c>
      <c r="B9" s="58">
        <v>50010</v>
      </c>
      <c r="C9" s="56" t="s">
        <v>34</v>
      </c>
      <c r="D9" t="s">
        <v>93</v>
      </c>
    </row>
    <row r="10" spans="1:109" x14ac:dyDescent="0.25">
      <c r="A10" s="56">
        <v>36100</v>
      </c>
      <c r="B10" s="58">
        <v>-5400</v>
      </c>
      <c r="C10" t="s">
        <v>42</v>
      </c>
      <c r="D10" s="62" t="s">
        <v>52</v>
      </c>
      <c r="E10">
        <v>22064</v>
      </c>
      <c r="F10" s="61"/>
    </row>
    <row r="11" spans="1:109" x14ac:dyDescent="0.25">
      <c r="A11" s="56"/>
      <c r="B11" s="58">
        <f>SUM(B7:B10)</f>
        <v>74632.350000000006</v>
      </c>
      <c r="D11" s="62"/>
      <c r="F11" s="61"/>
    </row>
    <row r="12" spans="1:109" x14ac:dyDescent="0.25">
      <c r="A12" s="56">
        <v>36130</v>
      </c>
      <c r="B12" s="58">
        <v>5308.5950000000003</v>
      </c>
      <c r="C12" s="56" t="s">
        <v>42</v>
      </c>
      <c r="D12" s="56" t="s">
        <v>51</v>
      </c>
      <c r="E12" s="57">
        <v>101073</v>
      </c>
    </row>
    <row r="13" spans="1:109" x14ac:dyDescent="0.25">
      <c r="A13" s="56">
        <v>36130</v>
      </c>
      <c r="B13" s="58">
        <v>25714.5</v>
      </c>
      <c r="C13" s="56" t="s">
        <v>42</v>
      </c>
      <c r="D13" s="56" t="s">
        <v>51</v>
      </c>
      <c r="E13" s="57">
        <v>101021</v>
      </c>
      <c r="F13" s="58"/>
      <c r="G13" s="59"/>
      <c r="H13" s="59"/>
      <c r="I13" s="60"/>
      <c r="J13" s="58"/>
    </row>
    <row r="14" spans="1:109" x14ac:dyDescent="0.25">
      <c r="A14" s="56">
        <v>36130</v>
      </c>
      <c r="B14" s="58">
        <v>51677</v>
      </c>
      <c r="C14" s="56" t="s">
        <v>34</v>
      </c>
      <c r="D14" t="s">
        <v>93</v>
      </c>
    </row>
    <row r="15" spans="1:109" x14ac:dyDescent="0.25">
      <c r="A15" s="56">
        <v>36130</v>
      </c>
      <c r="B15" s="58">
        <v>-5580</v>
      </c>
      <c r="C15" t="s">
        <v>42</v>
      </c>
      <c r="D15" s="62" t="s">
        <v>52</v>
      </c>
      <c r="E15">
        <v>22064</v>
      </c>
      <c r="F15" s="61"/>
    </row>
    <row r="16" spans="1:109" x14ac:dyDescent="0.25">
      <c r="A16" s="56"/>
      <c r="B16" s="58">
        <f>SUM(B12:B15)</f>
        <v>77120.095000000001</v>
      </c>
      <c r="D16" s="62"/>
      <c r="F16" s="61"/>
    </row>
    <row r="17" spans="1:10" x14ac:dyDescent="0.25">
      <c r="A17" s="56">
        <v>36161</v>
      </c>
      <c r="B17" s="58">
        <v>5308.5950000000003</v>
      </c>
      <c r="C17" s="56" t="s">
        <v>42</v>
      </c>
      <c r="D17" s="56" t="s">
        <v>51</v>
      </c>
      <c r="E17" s="57">
        <v>101073</v>
      </c>
    </row>
    <row r="18" spans="1:10" x14ac:dyDescent="0.25">
      <c r="A18" s="56">
        <v>36161</v>
      </c>
      <c r="B18" s="58">
        <v>25714.5</v>
      </c>
      <c r="C18" s="56" t="s">
        <v>42</v>
      </c>
      <c r="D18" s="56" t="s">
        <v>51</v>
      </c>
      <c r="E18" s="57">
        <v>101021</v>
      </c>
      <c r="F18" s="58"/>
      <c r="G18" s="59"/>
      <c r="H18" s="59"/>
      <c r="I18" s="60"/>
      <c r="J18" s="58"/>
    </row>
    <row r="19" spans="1:10" x14ac:dyDescent="0.25">
      <c r="A19" s="56">
        <v>36161</v>
      </c>
      <c r="B19" s="58">
        <v>51677</v>
      </c>
      <c r="C19" s="56" t="s">
        <v>34</v>
      </c>
      <c r="D19" t="s">
        <v>93</v>
      </c>
    </row>
    <row r="20" spans="1:10" x14ac:dyDescent="0.25">
      <c r="A20" s="56">
        <v>36161</v>
      </c>
      <c r="B20" s="58">
        <v>-5580</v>
      </c>
      <c r="C20" t="s">
        <v>42</v>
      </c>
      <c r="D20" s="62" t="s">
        <v>52</v>
      </c>
      <c r="E20">
        <v>22064</v>
      </c>
      <c r="F20" s="61"/>
    </row>
    <row r="21" spans="1:10" x14ac:dyDescent="0.25">
      <c r="A21" s="56"/>
      <c r="B21" s="58"/>
      <c r="D21" s="62"/>
      <c r="F21" s="61"/>
    </row>
    <row r="22" spans="1:10" x14ac:dyDescent="0.25">
      <c r="A22" s="56">
        <v>36192</v>
      </c>
      <c r="B22" s="58">
        <v>4794.8599999999997</v>
      </c>
      <c r="C22" s="56" t="s">
        <v>42</v>
      </c>
      <c r="D22" s="56" t="s">
        <v>51</v>
      </c>
      <c r="E22" s="57">
        <v>101073</v>
      </c>
    </row>
    <row r="23" spans="1:10" x14ac:dyDescent="0.25">
      <c r="A23" s="56">
        <v>36192</v>
      </c>
      <c r="B23" s="58">
        <v>23226</v>
      </c>
      <c r="C23" s="56" t="s">
        <v>42</v>
      </c>
      <c r="D23" s="56" t="s">
        <v>51</v>
      </c>
      <c r="E23" s="57">
        <v>101021</v>
      </c>
      <c r="F23" s="58"/>
      <c r="G23" s="59"/>
      <c r="H23" s="59"/>
      <c r="I23" s="60"/>
      <c r="J23" s="58"/>
    </row>
    <row r="24" spans="1:10" x14ac:dyDescent="0.25">
      <c r="A24" s="56">
        <v>36192</v>
      </c>
      <c r="B24" s="58">
        <v>46676</v>
      </c>
      <c r="C24" s="56" t="s">
        <v>34</v>
      </c>
      <c r="D24" t="s">
        <v>93</v>
      </c>
    </row>
    <row r="25" spans="1:10" x14ac:dyDescent="0.25">
      <c r="A25" s="56">
        <v>36192</v>
      </c>
      <c r="B25" s="58">
        <v>-5040</v>
      </c>
      <c r="C25" t="s">
        <v>42</v>
      </c>
      <c r="D25" s="62" t="s">
        <v>52</v>
      </c>
      <c r="E25">
        <v>22064</v>
      </c>
      <c r="F25" s="61"/>
    </row>
    <row r="26" spans="1:10" x14ac:dyDescent="0.25">
      <c r="A26" s="56"/>
      <c r="B26" s="58">
        <f>SUM(B22:B25)</f>
        <v>69656.86</v>
      </c>
      <c r="D26" s="62"/>
      <c r="F26" s="61"/>
    </row>
    <row r="27" spans="1:10" x14ac:dyDescent="0.25">
      <c r="A27" s="56">
        <v>36220</v>
      </c>
      <c r="B27" s="58">
        <v>5308.5950000000003</v>
      </c>
      <c r="C27" s="56" t="s">
        <v>42</v>
      </c>
      <c r="D27" s="56" t="s">
        <v>51</v>
      </c>
      <c r="E27" s="57">
        <v>101073</v>
      </c>
    </row>
    <row r="28" spans="1:10" x14ac:dyDescent="0.25">
      <c r="A28" s="56">
        <v>36220</v>
      </c>
      <c r="B28" s="58">
        <v>25714.5</v>
      </c>
      <c r="C28" s="56" t="s">
        <v>42</v>
      </c>
      <c r="D28" s="56" t="s">
        <v>51</v>
      </c>
      <c r="E28" s="57">
        <v>101021</v>
      </c>
      <c r="F28" s="58"/>
      <c r="G28" s="59"/>
      <c r="H28" s="59"/>
      <c r="I28" s="60"/>
      <c r="J28" s="58"/>
    </row>
    <row r="29" spans="1:10" x14ac:dyDescent="0.25">
      <c r="A29" s="56">
        <v>36220</v>
      </c>
      <c r="B29" s="58">
        <v>51677</v>
      </c>
      <c r="C29" s="56" t="s">
        <v>34</v>
      </c>
      <c r="D29" t="s">
        <v>93</v>
      </c>
    </row>
    <row r="30" spans="1:10" x14ac:dyDescent="0.25">
      <c r="A30" s="56">
        <v>36220</v>
      </c>
      <c r="B30" s="58">
        <v>-5580</v>
      </c>
      <c r="C30" t="s">
        <v>42</v>
      </c>
      <c r="D30" s="62" t="s">
        <v>52</v>
      </c>
      <c r="E30">
        <v>22064</v>
      </c>
      <c r="F30" s="61"/>
    </row>
    <row r="31" spans="1:10" x14ac:dyDescent="0.25">
      <c r="A31" s="56"/>
      <c r="B31" s="58"/>
      <c r="D31" s="62"/>
      <c r="F31" s="61"/>
    </row>
    <row r="32" spans="1:10" x14ac:dyDescent="0.25">
      <c r="A32" s="56">
        <v>36251</v>
      </c>
      <c r="B32" s="58">
        <v>5137.3500000000004</v>
      </c>
      <c r="C32" s="56" t="s">
        <v>42</v>
      </c>
      <c r="D32" s="56" t="s">
        <v>51</v>
      </c>
      <c r="E32" s="57">
        <v>101073</v>
      </c>
    </row>
    <row r="33" spans="1:10" x14ac:dyDescent="0.25">
      <c r="A33" s="56">
        <v>36251</v>
      </c>
      <c r="B33" s="58">
        <v>24885</v>
      </c>
      <c r="C33" s="56" t="s">
        <v>42</v>
      </c>
      <c r="D33" s="56" t="s">
        <v>51</v>
      </c>
      <c r="E33" s="57">
        <v>101021</v>
      </c>
      <c r="F33" s="58"/>
      <c r="G33" s="59"/>
      <c r="H33" s="59"/>
      <c r="I33" s="60"/>
      <c r="J33" s="58"/>
    </row>
    <row r="34" spans="1:10" x14ac:dyDescent="0.25">
      <c r="A34" s="56">
        <v>36251</v>
      </c>
      <c r="B34" s="58">
        <v>50010</v>
      </c>
      <c r="C34" s="56" t="s">
        <v>34</v>
      </c>
      <c r="D34" t="s">
        <v>93</v>
      </c>
    </row>
    <row r="35" spans="1:10" x14ac:dyDescent="0.25">
      <c r="A35" s="56">
        <v>36251</v>
      </c>
      <c r="B35" s="58">
        <v>-5400</v>
      </c>
      <c r="C35" t="s">
        <v>42</v>
      </c>
      <c r="D35" s="62" t="s">
        <v>52</v>
      </c>
      <c r="E35">
        <v>22064</v>
      </c>
      <c r="F35" s="61"/>
    </row>
    <row r="36" spans="1:10" x14ac:dyDescent="0.25">
      <c r="A36" s="56"/>
      <c r="B36" s="58">
        <f>SUM(B32:B35)</f>
        <v>74632.350000000006</v>
      </c>
      <c r="D36" s="62"/>
      <c r="F36" s="61"/>
    </row>
    <row r="37" spans="1:10" x14ac:dyDescent="0.25">
      <c r="A37" s="56">
        <v>36281</v>
      </c>
      <c r="B37" s="58">
        <v>5308.5950000000003</v>
      </c>
      <c r="C37" s="56" t="s">
        <v>42</v>
      </c>
      <c r="D37" s="56" t="s">
        <v>51</v>
      </c>
      <c r="E37" s="57">
        <v>101073</v>
      </c>
    </row>
    <row r="38" spans="1:10" x14ac:dyDescent="0.25">
      <c r="A38" s="56">
        <v>36281</v>
      </c>
      <c r="B38" s="58">
        <v>25714.5</v>
      </c>
      <c r="C38" s="56" t="s">
        <v>42</v>
      </c>
      <c r="D38" s="56" t="s">
        <v>51</v>
      </c>
      <c r="E38" s="57">
        <v>101021</v>
      </c>
      <c r="F38" s="58"/>
      <c r="G38" s="59"/>
      <c r="H38" s="59"/>
      <c r="I38" s="60"/>
      <c r="J38" s="58"/>
    </row>
    <row r="39" spans="1:10" x14ac:dyDescent="0.25">
      <c r="A39" s="56">
        <v>36281</v>
      </c>
      <c r="B39" s="58">
        <v>51677</v>
      </c>
      <c r="C39" s="56" t="s">
        <v>34</v>
      </c>
      <c r="D39" t="s">
        <v>93</v>
      </c>
    </row>
    <row r="40" spans="1:10" x14ac:dyDescent="0.25">
      <c r="A40" s="56">
        <v>36281</v>
      </c>
      <c r="B40" s="58">
        <v>-5580</v>
      </c>
      <c r="C40" t="s">
        <v>42</v>
      </c>
      <c r="D40" s="62" t="s">
        <v>52</v>
      </c>
      <c r="E40">
        <v>22064</v>
      </c>
      <c r="F40" s="61"/>
    </row>
    <row r="41" spans="1:10" x14ac:dyDescent="0.25">
      <c r="A41" s="56">
        <v>36312</v>
      </c>
      <c r="B41" s="58">
        <v>4428.75</v>
      </c>
      <c r="C41" s="56" t="s">
        <v>42</v>
      </c>
      <c r="D41" s="56" t="s">
        <v>51</v>
      </c>
      <c r="E41" s="57">
        <v>101073</v>
      </c>
    </row>
    <row r="42" spans="1:10" x14ac:dyDescent="0.25">
      <c r="A42" s="56">
        <v>36312</v>
      </c>
      <c r="B42" s="58">
        <v>24885</v>
      </c>
      <c r="C42" s="56" t="s">
        <v>42</v>
      </c>
      <c r="D42" s="56" t="s">
        <v>51</v>
      </c>
      <c r="E42" s="57">
        <v>101021</v>
      </c>
      <c r="F42" s="58"/>
      <c r="G42" s="59"/>
      <c r="H42" s="59"/>
      <c r="I42" s="60"/>
      <c r="J42" s="58"/>
    </row>
    <row r="43" spans="1:10" x14ac:dyDescent="0.25">
      <c r="A43" s="56">
        <v>36312</v>
      </c>
      <c r="B43" s="58">
        <v>50010</v>
      </c>
      <c r="C43" s="56" t="s">
        <v>34</v>
      </c>
      <c r="D43" t="s">
        <v>93</v>
      </c>
    </row>
    <row r="44" spans="1:10" x14ac:dyDescent="0.25">
      <c r="A44" s="56">
        <v>36312</v>
      </c>
      <c r="B44" s="58">
        <v>-3375</v>
      </c>
      <c r="C44" t="s">
        <v>42</v>
      </c>
      <c r="D44" s="62" t="s">
        <v>52</v>
      </c>
      <c r="E44">
        <v>22064</v>
      </c>
      <c r="F44" s="61"/>
    </row>
    <row r="45" spans="1:10" x14ac:dyDescent="0.25">
      <c r="A45" s="56">
        <v>36312</v>
      </c>
      <c r="B45" s="63">
        <v>-7500</v>
      </c>
      <c r="C45" s="56" t="s">
        <v>34</v>
      </c>
      <c r="D45" t="s">
        <v>37</v>
      </c>
      <c r="E45">
        <v>26125</v>
      </c>
    </row>
    <row r="46" spans="1:10" x14ac:dyDescent="0.25">
      <c r="A46" s="56">
        <v>36342</v>
      </c>
      <c r="B46" s="58">
        <v>4576.375</v>
      </c>
      <c r="C46" s="56" t="s">
        <v>42</v>
      </c>
      <c r="D46" s="56" t="s">
        <v>51</v>
      </c>
      <c r="E46" s="57">
        <v>101073</v>
      </c>
    </row>
    <row r="47" spans="1:10" x14ac:dyDescent="0.25">
      <c r="A47" s="56">
        <v>36342</v>
      </c>
      <c r="B47" s="58">
        <v>25714.5</v>
      </c>
      <c r="C47" s="56" t="s">
        <v>42</v>
      </c>
      <c r="D47" s="56" t="s">
        <v>51</v>
      </c>
      <c r="E47" s="57">
        <v>101021</v>
      </c>
      <c r="F47" s="58"/>
      <c r="G47" s="59"/>
      <c r="H47" s="59"/>
      <c r="I47" s="60"/>
      <c r="J47" s="58"/>
    </row>
    <row r="48" spans="1:10" x14ac:dyDescent="0.25">
      <c r="A48" s="56">
        <v>36342</v>
      </c>
      <c r="B48" s="58">
        <v>51677</v>
      </c>
      <c r="C48" s="56" t="s">
        <v>34</v>
      </c>
      <c r="D48" t="s">
        <v>93</v>
      </c>
    </row>
    <row r="49" spans="1:10" x14ac:dyDescent="0.25">
      <c r="A49" s="56">
        <v>36342</v>
      </c>
      <c r="B49" s="58">
        <v>-3487.5</v>
      </c>
      <c r="C49" t="s">
        <v>42</v>
      </c>
      <c r="D49" s="62" t="s">
        <v>52</v>
      </c>
      <c r="E49">
        <v>22064</v>
      </c>
      <c r="F49" s="61"/>
    </row>
    <row r="50" spans="1:10" x14ac:dyDescent="0.25">
      <c r="A50" s="56">
        <v>36342</v>
      </c>
      <c r="B50" s="63">
        <v>-7750</v>
      </c>
      <c r="C50" s="56" t="s">
        <v>34</v>
      </c>
      <c r="D50" t="s">
        <v>37</v>
      </c>
      <c r="E50">
        <v>26125</v>
      </c>
    </row>
    <row r="51" spans="1:10" x14ac:dyDescent="0.25">
      <c r="A51" s="56">
        <v>36373</v>
      </c>
      <c r="B51" s="58">
        <v>4576.375</v>
      </c>
      <c r="C51" s="56" t="s">
        <v>42</v>
      </c>
      <c r="D51" s="56" t="s">
        <v>51</v>
      </c>
      <c r="E51" s="57">
        <v>101073</v>
      </c>
    </row>
    <row r="52" spans="1:10" x14ac:dyDescent="0.25">
      <c r="A52" s="56">
        <v>36373</v>
      </c>
      <c r="B52" s="58">
        <v>25714.5</v>
      </c>
      <c r="C52" s="56" t="s">
        <v>42</v>
      </c>
      <c r="D52" s="56" t="s">
        <v>51</v>
      </c>
      <c r="E52" s="57">
        <v>101021</v>
      </c>
      <c r="F52" s="58"/>
      <c r="G52" s="59"/>
      <c r="H52" s="59"/>
      <c r="I52" s="60"/>
      <c r="J52" s="58"/>
    </row>
    <row r="53" spans="1:10" x14ac:dyDescent="0.25">
      <c r="A53" s="56">
        <v>36373</v>
      </c>
      <c r="B53" s="58">
        <v>51677</v>
      </c>
      <c r="C53" s="56" t="s">
        <v>34</v>
      </c>
      <c r="D53" t="s">
        <v>93</v>
      </c>
    </row>
    <row r="54" spans="1:10" x14ac:dyDescent="0.25">
      <c r="A54" s="56">
        <v>36373</v>
      </c>
      <c r="B54" s="58">
        <v>-3487.5</v>
      </c>
      <c r="C54" t="s">
        <v>42</v>
      </c>
      <c r="D54" s="62" t="s">
        <v>52</v>
      </c>
      <c r="E54">
        <v>22064</v>
      </c>
      <c r="F54" s="61"/>
    </row>
    <row r="55" spans="1:10" x14ac:dyDescent="0.25">
      <c r="A55" s="56">
        <v>36373</v>
      </c>
      <c r="B55" s="63">
        <v>-7750</v>
      </c>
      <c r="C55" s="56" t="s">
        <v>34</v>
      </c>
      <c r="D55" t="s">
        <v>37</v>
      </c>
      <c r="E55">
        <v>26125</v>
      </c>
    </row>
    <row r="56" spans="1:10" x14ac:dyDescent="0.25">
      <c r="A56" s="56">
        <v>36404</v>
      </c>
      <c r="B56" s="58">
        <v>4428.75</v>
      </c>
      <c r="C56" s="56" t="s">
        <v>42</v>
      </c>
      <c r="D56" s="56" t="s">
        <v>51</v>
      </c>
      <c r="E56" s="57">
        <v>101073</v>
      </c>
    </row>
    <row r="57" spans="1:10" x14ac:dyDescent="0.25">
      <c r="A57" s="56">
        <v>36404</v>
      </c>
      <c r="B57" s="58">
        <v>24885</v>
      </c>
      <c r="C57" s="56" t="s">
        <v>42</v>
      </c>
      <c r="D57" s="56" t="s">
        <v>51</v>
      </c>
      <c r="E57" s="57">
        <v>101021</v>
      </c>
      <c r="F57" s="58"/>
      <c r="G57" s="59"/>
      <c r="H57" s="59"/>
      <c r="I57" s="60"/>
      <c r="J57" s="58"/>
    </row>
    <row r="58" spans="1:10" x14ac:dyDescent="0.25">
      <c r="A58" s="56">
        <v>36404</v>
      </c>
      <c r="B58" s="58">
        <v>50010</v>
      </c>
      <c r="C58" s="56" t="s">
        <v>34</v>
      </c>
      <c r="D58" t="s">
        <v>93</v>
      </c>
    </row>
    <row r="59" spans="1:10" x14ac:dyDescent="0.25">
      <c r="A59" s="56">
        <v>36404</v>
      </c>
      <c r="B59" s="58">
        <v>-3375</v>
      </c>
      <c r="C59" t="s">
        <v>42</v>
      </c>
      <c r="D59" s="62" t="s">
        <v>52</v>
      </c>
      <c r="E59">
        <v>22064</v>
      </c>
      <c r="F59" s="61"/>
    </row>
    <row r="60" spans="1:10" x14ac:dyDescent="0.25">
      <c r="A60" s="56">
        <v>36404</v>
      </c>
      <c r="B60" s="63">
        <v>-7500</v>
      </c>
      <c r="C60" s="56" t="s">
        <v>34</v>
      </c>
      <c r="D60" t="s">
        <v>37</v>
      </c>
      <c r="E60">
        <v>26125</v>
      </c>
    </row>
    <row r="61" spans="1:10" x14ac:dyDescent="0.25">
      <c r="A61" s="56">
        <v>36434</v>
      </c>
      <c r="B61" s="58">
        <v>4576.375</v>
      </c>
      <c r="C61" s="56" t="s">
        <v>42</v>
      </c>
      <c r="D61" s="56" t="s">
        <v>51</v>
      </c>
      <c r="E61" s="57">
        <v>101073</v>
      </c>
    </row>
    <row r="62" spans="1:10" x14ac:dyDescent="0.25">
      <c r="A62" s="56">
        <v>36434</v>
      </c>
      <c r="B62" s="58">
        <v>25714.5</v>
      </c>
      <c r="C62" s="56" t="s">
        <v>42</v>
      </c>
      <c r="D62" s="56" t="s">
        <v>51</v>
      </c>
      <c r="E62" s="57">
        <v>101021</v>
      </c>
      <c r="F62" s="58"/>
      <c r="G62" s="59"/>
      <c r="H62" s="59"/>
      <c r="I62" s="60"/>
      <c r="J62" s="58"/>
    </row>
    <row r="63" spans="1:10" x14ac:dyDescent="0.25">
      <c r="A63" s="56">
        <v>36434</v>
      </c>
      <c r="B63" s="58">
        <v>51677</v>
      </c>
      <c r="C63" s="56" t="s">
        <v>34</v>
      </c>
      <c r="D63" t="s">
        <v>93</v>
      </c>
    </row>
    <row r="64" spans="1:10" x14ac:dyDescent="0.25">
      <c r="A64" s="56">
        <v>36434</v>
      </c>
      <c r="B64" s="58">
        <v>-3487.5</v>
      </c>
      <c r="C64" t="s">
        <v>42</v>
      </c>
      <c r="D64" s="62" t="s">
        <v>52</v>
      </c>
      <c r="E64">
        <v>22064</v>
      </c>
      <c r="F64" s="61"/>
    </row>
    <row r="65" spans="1:10" x14ac:dyDescent="0.25">
      <c r="A65" s="56">
        <v>36434</v>
      </c>
      <c r="B65" s="63">
        <v>-7750</v>
      </c>
      <c r="C65" s="56" t="s">
        <v>34</v>
      </c>
      <c r="D65" t="s">
        <v>37</v>
      </c>
      <c r="E65">
        <v>26125</v>
      </c>
    </row>
    <row r="66" spans="1:10" x14ac:dyDescent="0.25">
      <c r="A66" s="56">
        <v>36465</v>
      </c>
      <c r="B66" s="58">
        <v>4428.75</v>
      </c>
      <c r="C66" s="56" t="s">
        <v>42</v>
      </c>
      <c r="D66" s="56" t="s">
        <v>51</v>
      </c>
      <c r="E66" s="57">
        <v>101073</v>
      </c>
    </row>
    <row r="67" spans="1:10" x14ac:dyDescent="0.25">
      <c r="A67" s="56">
        <v>36465</v>
      </c>
      <c r="B67" s="58">
        <v>24885</v>
      </c>
      <c r="C67" s="56" t="s">
        <v>42</v>
      </c>
      <c r="D67" s="56" t="s">
        <v>51</v>
      </c>
      <c r="E67" s="57">
        <v>101021</v>
      </c>
      <c r="F67" s="58"/>
      <c r="G67" s="59"/>
      <c r="H67" s="59"/>
      <c r="I67" s="60"/>
      <c r="J67" s="58"/>
    </row>
    <row r="68" spans="1:10" x14ac:dyDescent="0.25">
      <c r="A68" s="56">
        <v>36465</v>
      </c>
      <c r="B68" s="58">
        <v>50010</v>
      </c>
      <c r="C68" s="56" t="s">
        <v>34</v>
      </c>
      <c r="D68" t="s">
        <v>93</v>
      </c>
    </row>
    <row r="69" spans="1:10" x14ac:dyDescent="0.25">
      <c r="A69" s="56">
        <v>36465</v>
      </c>
      <c r="B69" s="58">
        <v>-3375</v>
      </c>
      <c r="C69" t="s">
        <v>42</v>
      </c>
      <c r="D69" s="62" t="s">
        <v>52</v>
      </c>
      <c r="E69">
        <v>22064</v>
      </c>
      <c r="F69" s="61"/>
    </row>
    <row r="70" spans="1:10" x14ac:dyDescent="0.25">
      <c r="A70" s="56">
        <v>36465</v>
      </c>
      <c r="B70" s="63">
        <v>-7500</v>
      </c>
      <c r="C70" s="56" t="s">
        <v>34</v>
      </c>
      <c r="D70" t="s">
        <v>37</v>
      </c>
      <c r="E70">
        <v>26125</v>
      </c>
    </row>
    <row r="71" spans="1:10" x14ac:dyDescent="0.25">
      <c r="A71" s="56">
        <v>36495</v>
      </c>
      <c r="B71" s="58">
        <v>4576.375</v>
      </c>
      <c r="C71" s="56" t="s">
        <v>42</v>
      </c>
      <c r="D71" s="56" t="s">
        <v>51</v>
      </c>
      <c r="E71" s="57">
        <v>101073</v>
      </c>
    </row>
    <row r="72" spans="1:10" x14ac:dyDescent="0.25">
      <c r="A72" s="56">
        <v>36495</v>
      </c>
      <c r="B72" s="58">
        <v>25714.5</v>
      </c>
      <c r="C72" s="56" t="s">
        <v>42</v>
      </c>
      <c r="D72" s="56" t="s">
        <v>51</v>
      </c>
      <c r="E72" s="57">
        <v>101021</v>
      </c>
      <c r="F72" s="58"/>
      <c r="G72" s="59"/>
      <c r="H72" s="59"/>
      <c r="I72" s="60"/>
      <c r="J72" s="58"/>
    </row>
    <row r="73" spans="1:10" x14ac:dyDescent="0.25">
      <c r="A73" s="56">
        <v>36495</v>
      </c>
      <c r="B73" s="58">
        <v>51677</v>
      </c>
      <c r="C73" s="56" t="s">
        <v>34</v>
      </c>
      <c r="D73" t="s">
        <v>93</v>
      </c>
      <c r="F73" s="61"/>
    </row>
    <row r="74" spans="1:10" x14ac:dyDescent="0.25">
      <c r="A74" s="56">
        <v>36495</v>
      </c>
      <c r="B74" s="58">
        <v>-3487.5</v>
      </c>
      <c r="C74" t="s">
        <v>42</v>
      </c>
      <c r="D74" s="62" t="s">
        <v>52</v>
      </c>
      <c r="E74">
        <v>22064</v>
      </c>
      <c r="F74" s="61"/>
    </row>
    <row r="75" spans="1:10" x14ac:dyDescent="0.25">
      <c r="A75" s="56">
        <v>36495</v>
      </c>
      <c r="B75" s="63">
        <v>-7750</v>
      </c>
      <c r="C75" s="56" t="s">
        <v>34</v>
      </c>
      <c r="D75" t="s">
        <v>37</v>
      </c>
      <c r="E75">
        <v>26125</v>
      </c>
    </row>
    <row r="76" spans="1:10" x14ac:dyDescent="0.25">
      <c r="A76" s="56"/>
      <c r="B76" s="63"/>
      <c r="C76" s="56"/>
    </row>
    <row r="77" spans="1:10" x14ac:dyDescent="0.25">
      <c r="A77" s="56">
        <v>36526</v>
      </c>
      <c r="B77" s="58">
        <v>4576.375</v>
      </c>
      <c r="C77" s="56" t="s">
        <v>42</v>
      </c>
      <c r="D77" s="56" t="s">
        <v>51</v>
      </c>
      <c r="E77" s="57">
        <v>101073</v>
      </c>
    </row>
    <row r="78" spans="1:10" x14ac:dyDescent="0.25">
      <c r="A78" s="56">
        <v>36526</v>
      </c>
      <c r="B78" s="58">
        <v>25714.5</v>
      </c>
      <c r="C78" s="56" t="s">
        <v>42</v>
      </c>
      <c r="D78" s="56" t="s">
        <v>51</v>
      </c>
      <c r="E78" s="57">
        <v>101021</v>
      </c>
      <c r="F78" s="58"/>
      <c r="G78" s="59"/>
      <c r="H78" s="59"/>
      <c r="I78" s="60"/>
      <c r="J78" s="58"/>
    </row>
    <row r="79" spans="1:10" x14ac:dyDescent="0.25">
      <c r="A79" s="56">
        <v>36526</v>
      </c>
      <c r="B79" s="63">
        <v>-7750</v>
      </c>
      <c r="C79" s="56" t="s">
        <v>34</v>
      </c>
      <c r="D79" t="s">
        <v>37</v>
      </c>
      <c r="E79">
        <v>26125</v>
      </c>
    </row>
    <row r="80" spans="1:10" x14ac:dyDescent="0.25">
      <c r="A80" s="56"/>
      <c r="B80" s="63">
        <f>SUM(B77:B79)</f>
        <v>22540.875</v>
      </c>
      <c r="C80" s="56"/>
    </row>
    <row r="81" spans="1:10" x14ac:dyDescent="0.25">
      <c r="A81" s="56">
        <v>36557</v>
      </c>
      <c r="B81" s="58">
        <v>4281.125</v>
      </c>
      <c r="C81" s="56" t="s">
        <v>42</v>
      </c>
      <c r="D81" s="56" t="s">
        <v>51</v>
      </c>
      <c r="E81" s="57">
        <v>101073</v>
      </c>
    </row>
    <row r="82" spans="1:10" x14ac:dyDescent="0.25">
      <c r="A82" s="56">
        <v>36557</v>
      </c>
      <c r="B82" s="58">
        <v>24055.5</v>
      </c>
      <c r="C82" s="56" t="s">
        <v>42</v>
      </c>
      <c r="D82" s="56" t="s">
        <v>51</v>
      </c>
      <c r="E82" s="57">
        <v>101021</v>
      </c>
      <c r="F82" s="58"/>
      <c r="G82" s="59"/>
      <c r="H82" s="59"/>
      <c r="I82" s="60"/>
      <c r="J82" s="58"/>
    </row>
    <row r="83" spans="1:10" x14ac:dyDescent="0.25">
      <c r="A83" s="56">
        <v>36557</v>
      </c>
      <c r="B83" s="63">
        <v>-7000</v>
      </c>
      <c r="C83" s="56" t="s">
        <v>34</v>
      </c>
      <c r="D83" t="s">
        <v>37</v>
      </c>
      <c r="E83">
        <v>26125</v>
      </c>
    </row>
    <row r="84" spans="1:10" x14ac:dyDescent="0.25">
      <c r="A84" s="56"/>
      <c r="B84" s="63">
        <f>SUM(B81:B83)</f>
        <v>21336.625</v>
      </c>
      <c r="C84" s="56"/>
    </row>
    <row r="85" spans="1:10" x14ac:dyDescent="0.25">
      <c r="A85" s="56">
        <v>36586</v>
      </c>
      <c r="B85" s="58">
        <v>4576.375</v>
      </c>
      <c r="C85" s="56" t="s">
        <v>42</v>
      </c>
      <c r="D85" s="56" t="s">
        <v>51</v>
      </c>
      <c r="E85" s="57">
        <v>101073</v>
      </c>
    </row>
    <row r="86" spans="1:10" x14ac:dyDescent="0.25">
      <c r="A86" s="56">
        <v>36586</v>
      </c>
      <c r="B86" s="58">
        <v>25714.5</v>
      </c>
      <c r="C86" s="56" t="s">
        <v>42</v>
      </c>
      <c r="D86" s="56" t="s">
        <v>51</v>
      </c>
      <c r="E86" s="57">
        <v>101021</v>
      </c>
      <c r="F86" s="58"/>
      <c r="G86" s="59"/>
      <c r="H86" s="59"/>
      <c r="I86" s="60"/>
      <c r="J86" s="58"/>
    </row>
    <row r="87" spans="1:10" x14ac:dyDescent="0.25">
      <c r="A87" s="56">
        <v>36586</v>
      </c>
      <c r="B87" s="63">
        <v>-7750</v>
      </c>
      <c r="C87" s="56" t="s">
        <v>34</v>
      </c>
      <c r="D87" t="s">
        <v>37</v>
      </c>
      <c r="E87">
        <v>26125</v>
      </c>
    </row>
    <row r="88" spans="1:10" x14ac:dyDescent="0.25">
      <c r="A88" s="56"/>
      <c r="B88" s="63"/>
      <c r="C88" s="56"/>
    </row>
    <row r="89" spans="1:10" x14ac:dyDescent="0.25">
      <c r="A89" s="56">
        <v>36617</v>
      </c>
      <c r="B89" s="58">
        <v>4428.75</v>
      </c>
      <c r="C89" s="56" t="s">
        <v>42</v>
      </c>
      <c r="D89" s="56" t="s">
        <v>51</v>
      </c>
      <c r="E89" s="57">
        <v>101073</v>
      </c>
    </row>
    <row r="90" spans="1:10" x14ac:dyDescent="0.25">
      <c r="A90" s="56">
        <v>36617</v>
      </c>
      <c r="B90" s="58">
        <v>24885</v>
      </c>
      <c r="C90" s="56" t="s">
        <v>42</v>
      </c>
      <c r="D90" s="56" t="s">
        <v>51</v>
      </c>
      <c r="E90" s="57">
        <v>101021</v>
      </c>
      <c r="F90" s="58"/>
      <c r="G90" s="59"/>
      <c r="H90" s="59"/>
      <c r="I90" s="60"/>
      <c r="J90" s="58"/>
    </row>
    <row r="91" spans="1:10" x14ac:dyDescent="0.25">
      <c r="A91" s="56">
        <v>36617</v>
      </c>
      <c r="B91" s="63">
        <v>-7500</v>
      </c>
      <c r="C91" s="56" t="s">
        <v>34</v>
      </c>
      <c r="D91" t="s">
        <v>37</v>
      </c>
      <c r="E91">
        <v>26125</v>
      </c>
    </row>
    <row r="92" spans="1:10" x14ac:dyDescent="0.25">
      <c r="A92" s="56"/>
      <c r="B92" s="63">
        <f>SUM(B89:B91)</f>
        <v>21813.75</v>
      </c>
      <c r="C92" s="56"/>
    </row>
    <row r="93" spans="1:10" x14ac:dyDescent="0.25">
      <c r="A93" s="56">
        <v>36647</v>
      </c>
      <c r="B93" s="58">
        <v>4576.375</v>
      </c>
      <c r="C93" s="56" t="s">
        <v>42</v>
      </c>
      <c r="D93" s="56" t="s">
        <v>51</v>
      </c>
      <c r="E93" s="57">
        <v>101073</v>
      </c>
    </row>
    <row r="94" spans="1:10" x14ac:dyDescent="0.25">
      <c r="A94" s="56">
        <v>36647</v>
      </c>
      <c r="B94" s="58">
        <v>25714.5</v>
      </c>
      <c r="C94" s="56" t="s">
        <v>42</v>
      </c>
      <c r="D94" s="56" t="s">
        <v>51</v>
      </c>
      <c r="E94" s="57">
        <v>101021</v>
      </c>
      <c r="F94" s="58"/>
      <c r="G94" s="59"/>
      <c r="H94" s="59"/>
      <c r="I94" s="60"/>
      <c r="J94" s="58"/>
    </row>
    <row r="95" spans="1:10" x14ac:dyDescent="0.25">
      <c r="A95" s="56">
        <v>36647</v>
      </c>
      <c r="B95" s="63">
        <v>-7750</v>
      </c>
      <c r="C95" s="56" t="s">
        <v>34</v>
      </c>
      <c r="D95" t="s">
        <v>37</v>
      </c>
      <c r="E95">
        <v>26125</v>
      </c>
    </row>
    <row r="96" spans="1:10" x14ac:dyDescent="0.25">
      <c r="A96" s="56">
        <v>36678</v>
      </c>
      <c r="B96" s="58">
        <v>4428.75</v>
      </c>
      <c r="C96" s="56" t="s">
        <v>42</v>
      </c>
      <c r="D96" s="56" t="s">
        <v>51</v>
      </c>
      <c r="E96" s="57">
        <v>101073</v>
      </c>
    </row>
    <row r="97" spans="1:10" x14ac:dyDescent="0.25">
      <c r="A97" s="56">
        <v>36678</v>
      </c>
      <c r="B97" s="58">
        <v>24885</v>
      </c>
      <c r="C97" s="56" t="s">
        <v>42</v>
      </c>
      <c r="D97" s="56" t="s">
        <v>51</v>
      </c>
      <c r="E97" s="57">
        <v>101021</v>
      </c>
      <c r="F97" s="58"/>
      <c r="G97" s="59"/>
      <c r="H97" s="59"/>
      <c r="I97" s="60"/>
      <c r="J97" s="58"/>
    </row>
    <row r="98" spans="1:10" x14ac:dyDescent="0.25">
      <c r="A98" s="56">
        <v>36678</v>
      </c>
      <c r="B98" s="63">
        <v>-7500</v>
      </c>
      <c r="C98" s="56" t="s">
        <v>34</v>
      </c>
      <c r="D98" t="s">
        <v>37</v>
      </c>
      <c r="E98">
        <v>26125</v>
      </c>
    </row>
    <row r="99" spans="1:10" x14ac:dyDescent="0.25">
      <c r="A99" s="56">
        <v>36708</v>
      </c>
      <c r="B99" s="58">
        <v>4576.375</v>
      </c>
      <c r="C99" s="56" t="s">
        <v>42</v>
      </c>
      <c r="D99" s="56" t="s">
        <v>51</v>
      </c>
      <c r="E99" s="57">
        <v>101073</v>
      </c>
    </row>
    <row r="100" spans="1:10" x14ac:dyDescent="0.25">
      <c r="A100" s="56">
        <v>36708</v>
      </c>
      <c r="B100" s="58">
        <v>25714.5</v>
      </c>
      <c r="C100" s="56" t="s">
        <v>42</v>
      </c>
      <c r="D100" s="56" t="s">
        <v>51</v>
      </c>
      <c r="E100" s="57">
        <v>101021</v>
      </c>
      <c r="F100" s="58"/>
      <c r="G100" s="59"/>
      <c r="H100" s="59"/>
      <c r="I100" s="60"/>
      <c r="J100" s="58"/>
    </row>
    <row r="101" spans="1:10" x14ac:dyDescent="0.25">
      <c r="A101" s="56">
        <v>36708</v>
      </c>
      <c r="B101" s="63">
        <v>-7750</v>
      </c>
      <c r="C101" s="56" t="s">
        <v>34</v>
      </c>
      <c r="D101" t="s">
        <v>37</v>
      </c>
      <c r="E101">
        <v>26125</v>
      </c>
    </row>
    <row r="102" spans="1:10" x14ac:dyDescent="0.25">
      <c r="A102" s="56">
        <v>36739</v>
      </c>
      <c r="B102" s="58">
        <v>4576.375</v>
      </c>
      <c r="C102" s="56" t="s">
        <v>42</v>
      </c>
      <c r="D102" s="56" t="s">
        <v>51</v>
      </c>
      <c r="E102" s="57">
        <v>101073</v>
      </c>
    </row>
    <row r="103" spans="1:10" x14ac:dyDescent="0.25">
      <c r="A103" s="56">
        <v>36739</v>
      </c>
      <c r="B103" s="58">
        <v>25714.5</v>
      </c>
      <c r="C103" s="56" t="s">
        <v>42</v>
      </c>
      <c r="D103" s="56" t="s">
        <v>51</v>
      </c>
      <c r="E103" s="57">
        <v>101021</v>
      </c>
      <c r="F103" s="58"/>
      <c r="G103" s="59"/>
      <c r="H103" s="59"/>
      <c r="I103" s="60"/>
      <c r="J103" s="58"/>
    </row>
    <row r="104" spans="1:10" x14ac:dyDescent="0.25">
      <c r="A104" s="56">
        <v>36739</v>
      </c>
      <c r="B104" s="63">
        <v>-7750</v>
      </c>
      <c r="C104" s="56" t="s">
        <v>34</v>
      </c>
      <c r="D104" t="s">
        <v>37</v>
      </c>
      <c r="E104">
        <v>26125</v>
      </c>
    </row>
    <row r="105" spans="1:10" x14ac:dyDescent="0.25">
      <c r="A105" s="56">
        <v>36770</v>
      </c>
      <c r="B105" s="58">
        <v>4428.75</v>
      </c>
      <c r="C105" s="56" t="s">
        <v>42</v>
      </c>
      <c r="D105" s="56" t="s">
        <v>51</v>
      </c>
      <c r="E105" s="57">
        <v>101073</v>
      </c>
    </row>
    <row r="106" spans="1:10" x14ac:dyDescent="0.25">
      <c r="A106" s="56">
        <v>36770</v>
      </c>
      <c r="B106" s="58">
        <v>24885</v>
      </c>
      <c r="C106" s="56" t="s">
        <v>42</v>
      </c>
      <c r="D106" s="56" t="s">
        <v>51</v>
      </c>
      <c r="E106" s="57">
        <v>101021</v>
      </c>
      <c r="F106" s="58"/>
      <c r="G106" s="59"/>
      <c r="H106" s="59"/>
      <c r="I106" s="60"/>
      <c r="J106" s="58"/>
    </row>
    <row r="107" spans="1:10" x14ac:dyDescent="0.25">
      <c r="A107" s="56">
        <v>36770</v>
      </c>
      <c r="B107" s="63">
        <v>-7500</v>
      </c>
      <c r="C107" s="56" t="s">
        <v>34</v>
      </c>
      <c r="D107" t="s">
        <v>37</v>
      </c>
      <c r="E107">
        <v>26125</v>
      </c>
    </row>
    <row r="108" spans="1:10" x14ac:dyDescent="0.25">
      <c r="A108" s="56">
        <v>36800</v>
      </c>
      <c r="B108" s="58">
        <v>4576.375</v>
      </c>
      <c r="C108" s="56" t="s">
        <v>42</v>
      </c>
      <c r="D108" s="56" t="s">
        <v>51</v>
      </c>
      <c r="E108" s="57">
        <v>101073</v>
      </c>
    </row>
    <row r="109" spans="1:10" x14ac:dyDescent="0.25">
      <c r="A109" s="56">
        <v>36800</v>
      </c>
      <c r="B109" s="58">
        <v>25714.5</v>
      </c>
      <c r="C109" s="56" t="s">
        <v>42</v>
      </c>
      <c r="D109" s="56" t="s">
        <v>51</v>
      </c>
      <c r="E109" s="57">
        <v>101021</v>
      </c>
      <c r="F109" s="58"/>
      <c r="G109" s="59"/>
      <c r="H109" s="59"/>
      <c r="I109" s="60"/>
      <c r="J109" s="58"/>
    </row>
    <row r="110" spans="1:10" x14ac:dyDescent="0.25">
      <c r="A110" s="56">
        <v>36800</v>
      </c>
      <c r="B110" s="63">
        <v>-7750</v>
      </c>
      <c r="C110" s="56" t="s">
        <v>34</v>
      </c>
      <c r="D110" t="s">
        <v>37</v>
      </c>
      <c r="E110">
        <v>26125</v>
      </c>
    </row>
    <row r="111" spans="1:10" x14ac:dyDescent="0.25">
      <c r="A111" s="56">
        <v>36831</v>
      </c>
      <c r="B111" s="58">
        <v>4428.75</v>
      </c>
      <c r="C111" s="56" t="s">
        <v>42</v>
      </c>
      <c r="D111" s="56" t="s">
        <v>51</v>
      </c>
      <c r="E111" s="57">
        <v>101073</v>
      </c>
    </row>
    <row r="112" spans="1:10" x14ac:dyDescent="0.25">
      <c r="A112" s="56">
        <v>36831</v>
      </c>
      <c r="B112" s="58">
        <v>24885</v>
      </c>
      <c r="C112" s="56" t="s">
        <v>42</v>
      </c>
      <c r="D112" s="56" t="s">
        <v>51</v>
      </c>
      <c r="E112" s="57">
        <v>101021</v>
      </c>
      <c r="F112" s="58"/>
      <c r="G112" s="59"/>
      <c r="H112" s="59"/>
      <c r="I112" s="60"/>
      <c r="J112" s="58"/>
    </row>
    <row r="113" spans="1:10" x14ac:dyDescent="0.25">
      <c r="A113" s="56">
        <v>36831</v>
      </c>
      <c r="B113" s="63">
        <v>-7500</v>
      </c>
      <c r="C113" s="56" t="s">
        <v>34</v>
      </c>
      <c r="D113" t="s">
        <v>37</v>
      </c>
      <c r="E113">
        <v>26125</v>
      </c>
    </row>
    <row r="114" spans="1:10" x14ac:dyDescent="0.25">
      <c r="A114" s="56"/>
      <c r="B114" s="63"/>
      <c r="C114" s="56"/>
    </row>
    <row r="115" spans="1:10" x14ac:dyDescent="0.25">
      <c r="A115" s="56">
        <v>36861</v>
      </c>
      <c r="B115" s="58">
        <v>4576.375</v>
      </c>
      <c r="C115" s="56" t="s">
        <v>42</v>
      </c>
      <c r="D115" s="56" t="s">
        <v>51</v>
      </c>
      <c r="E115" s="57">
        <v>101073</v>
      </c>
    </row>
    <row r="116" spans="1:10" x14ac:dyDescent="0.25">
      <c r="A116" s="56">
        <v>36861</v>
      </c>
      <c r="B116" s="58">
        <v>25714.5</v>
      </c>
      <c r="C116" s="56" t="s">
        <v>42</v>
      </c>
      <c r="D116" s="56" t="s">
        <v>51</v>
      </c>
      <c r="E116" s="57">
        <v>101021</v>
      </c>
      <c r="F116" s="58"/>
      <c r="G116" s="59"/>
      <c r="H116" s="59"/>
      <c r="I116" s="60"/>
      <c r="J116" s="58"/>
    </row>
    <row r="117" spans="1:10" x14ac:dyDescent="0.25">
      <c r="A117" s="56">
        <v>36861</v>
      </c>
      <c r="B117" s="63">
        <v>-7750</v>
      </c>
      <c r="C117" s="56" t="s">
        <v>34</v>
      </c>
      <c r="D117" t="s">
        <v>37</v>
      </c>
      <c r="E117">
        <v>26125</v>
      </c>
    </row>
    <row r="118" spans="1:10" x14ac:dyDescent="0.25">
      <c r="A118" s="56"/>
      <c r="B118" s="63">
        <f>SUM(B115:B117)</f>
        <v>22540.875</v>
      </c>
      <c r="C118" s="56"/>
    </row>
    <row r="119" spans="1:10" x14ac:dyDescent="0.25">
      <c r="A119" s="56">
        <v>36892</v>
      </c>
      <c r="B119" s="58">
        <v>4027.21</v>
      </c>
      <c r="C119" s="56" t="s">
        <v>42</v>
      </c>
      <c r="D119" s="56" t="s">
        <v>51</v>
      </c>
      <c r="E119" s="57">
        <v>101073</v>
      </c>
    </row>
    <row r="120" spans="1:10" x14ac:dyDescent="0.25">
      <c r="A120" s="56">
        <v>36892</v>
      </c>
      <c r="B120" s="58">
        <v>24490</v>
      </c>
      <c r="C120" s="56" t="s">
        <v>42</v>
      </c>
      <c r="D120" s="56" t="s">
        <v>51</v>
      </c>
      <c r="E120" s="57">
        <v>101021</v>
      </c>
      <c r="F120" s="58"/>
      <c r="G120" s="59"/>
      <c r="H120" s="59"/>
      <c r="I120" s="60"/>
      <c r="J120" s="58"/>
    </row>
    <row r="121" spans="1:10" x14ac:dyDescent="0.25">
      <c r="A121" s="56">
        <v>36892</v>
      </c>
      <c r="B121" s="63">
        <v>-7750</v>
      </c>
      <c r="C121" s="56" t="s">
        <v>34</v>
      </c>
      <c r="D121" t="s">
        <v>37</v>
      </c>
      <c r="E121">
        <v>26125</v>
      </c>
    </row>
    <row r="122" spans="1:10" x14ac:dyDescent="0.25">
      <c r="A122" s="56"/>
      <c r="B122" s="63">
        <f>SUM(B119:B121)</f>
        <v>20767.21</v>
      </c>
      <c r="C122" s="56"/>
    </row>
    <row r="123" spans="1:10" x14ac:dyDescent="0.25">
      <c r="A123" s="56">
        <v>36923</v>
      </c>
      <c r="B123" s="58">
        <v>3637.48</v>
      </c>
      <c r="C123" s="56" t="s">
        <v>42</v>
      </c>
      <c r="D123" s="56" t="s">
        <v>51</v>
      </c>
      <c r="E123" s="57">
        <v>101073</v>
      </c>
    </row>
    <row r="124" spans="1:10" x14ac:dyDescent="0.25">
      <c r="A124" s="56">
        <v>36923</v>
      </c>
      <c r="B124" s="58">
        <v>22120</v>
      </c>
      <c r="C124" s="56" t="s">
        <v>42</v>
      </c>
      <c r="D124" s="56" t="s">
        <v>51</v>
      </c>
      <c r="E124" s="57">
        <v>101021</v>
      </c>
      <c r="F124" s="58"/>
      <c r="G124" s="59"/>
      <c r="H124" s="59"/>
      <c r="I124" s="60"/>
      <c r="J124" s="58"/>
    </row>
    <row r="125" spans="1:10" x14ac:dyDescent="0.25">
      <c r="A125" s="56">
        <v>36923</v>
      </c>
      <c r="B125" s="63">
        <v>-7000</v>
      </c>
      <c r="C125" s="56" t="s">
        <v>34</v>
      </c>
      <c r="D125" t="s">
        <v>37</v>
      </c>
      <c r="E125">
        <v>26125</v>
      </c>
    </row>
    <row r="126" spans="1:10" x14ac:dyDescent="0.25">
      <c r="A126" s="56"/>
      <c r="B126" s="63">
        <f>SUM(B123:B125)</f>
        <v>18757.48</v>
      </c>
      <c r="C126" s="56"/>
    </row>
    <row r="127" spans="1:10" x14ac:dyDescent="0.25">
      <c r="A127" s="56">
        <v>36951</v>
      </c>
      <c r="B127" s="58">
        <v>4027.21</v>
      </c>
      <c r="C127" s="56" t="s">
        <v>42</v>
      </c>
      <c r="D127" s="56" t="s">
        <v>51</v>
      </c>
      <c r="E127" s="57">
        <v>101073</v>
      </c>
    </row>
    <row r="128" spans="1:10" x14ac:dyDescent="0.25">
      <c r="A128" s="56">
        <v>36951</v>
      </c>
      <c r="B128" s="58">
        <v>24490</v>
      </c>
      <c r="C128" s="56" t="s">
        <v>42</v>
      </c>
      <c r="D128" s="56" t="s">
        <v>51</v>
      </c>
      <c r="E128" s="57">
        <v>101021</v>
      </c>
      <c r="F128" s="58"/>
      <c r="G128" s="59"/>
      <c r="H128" s="59"/>
      <c r="I128" s="60"/>
      <c r="J128" s="58"/>
    </row>
    <row r="129" spans="1:10" x14ac:dyDescent="0.25">
      <c r="A129" s="56">
        <v>36951</v>
      </c>
      <c r="B129" s="63">
        <v>-7750</v>
      </c>
      <c r="C129" s="56" t="s">
        <v>34</v>
      </c>
      <c r="D129" t="s">
        <v>37</v>
      </c>
      <c r="E129">
        <v>26125</v>
      </c>
    </row>
    <row r="130" spans="1:10" x14ac:dyDescent="0.25">
      <c r="A130" s="56"/>
      <c r="B130" s="63">
        <f>SUM(B127:B129)</f>
        <v>20767.21</v>
      </c>
      <c r="C130" s="56"/>
    </row>
    <row r="131" spans="1:10" x14ac:dyDescent="0.25">
      <c r="A131" s="56">
        <v>36982</v>
      </c>
      <c r="B131" s="58">
        <v>3897.3</v>
      </c>
      <c r="C131" s="56" t="s">
        <v>42</v>
      </c>
      <c r="D131" s="56" t="s">
        <v>51</v>
      </c>
      <c r="E131" s="57">
        <v>101073</v>
      </c>
    </row>
    <row r="132" spans="1:10" x14ac:dyDescent="0.25">
      <c r="A132" s="56">
        <v>36982</v>
      </c>
      <c r="B132" s="58">
        <v>23700</v>
      </c>
      <c r="C132" s="56" t="s">
        <v>42</v>
      </c>
      <c r="D132" s="56" t="s">
        <v>51</v>
      </c>
      <c r="E132" s="57">
        <v>101021</v>
      </c>
      <c r="F132" s="58"/>
      <c r="G132" s="59"/>
      <c r="H132" s="59"/>
      <c r="I132" s="60"/>
      <c r="J132" s="58"/>
    </row>
    <row r="133" spans="1:10" x14ac:dyDescent="0.25">
      <c r="A133" s="56">
        <v>36982</v>
      </c>
      <c r="B133" s="63">
        <v>-7500</v>
      </c>
      <c r="C133" s="56" t="s">
        <v>34</v>
      </c>
      <c r="D133" t="s">
        <v>37</v>
      </c>
      <c r="E133">
        <v>26125</v>
      </c>
    </row>
    <row r="134" spans="1:10" x14ac:dyDescent="0.25">
      <c r="A134" s="56"/>
      <c r="B134" s="63">
        <f>SUM(B131:B133)</f>
        <v>20097.3</v>
      </c>
      <c r="C134" s="56"/>
    </row>
    <row r="135" spans="1:10" x14ac:dyDescent="0.25">
      <c r="A135" s="56">
        <v>37012</v>
      </c>
      <c r="B135" s="58">
        <v>4027.21</v>
      </c>
      <c r="C135" s="56" t="s">
        <v>42</v>
      </c>
      <c r="D135" s="56" t="s">
        <v>51</v>
      </c>
      <c r="E135" s="57">
        <v>101073</v>
      </c>
    </row>
    <row r="136" spans="1:10" x14ac:dyDescent="0.25">
      <c r="A136" s="56">
        <v>37012</v>
      </c>
      <c r="B136" s="58">
        <v>24490</v>
      </c>
      <c r="C136" s="56" t="s">
        <v>42</v>
      </c>
      <c r="D136" s="56" t="s">
        <v>51</v>
      </c>
      <c r="E136" s="57">
        <v>101021</v>
      </c>
      <c r="F136" s="58"/>
      <c r="G136" s="59"/>
      <c r="H136" s="59"/>
      <c r="I136" s="60"/>
      <c r="J136" s="58"/>
    </row>
    <row r="137" spans="1:10" x14ac:dyDescent="0.25">
      <c r="A137" s="56">
        <v>37012</v>
      </c>
      <c r="B137" s="63">
        <v>-7750</v>
      </c>
      <c r="C137" s="56" t="s">
        <v>34</v>
      </c>
      <c r="D137" t="s">
        <v>37</v>
      </c>
      <c r="E137">
        <v>26125</v>
      </c>
    </row>
    <row r="138" spans="1:10" x14ac:dyDescent="0.25">
      <c r="A138" s="56">
        <v>37043</v>
      </c>
      <c r="B138" s="58">
        <v>3897.3</v>
      </c>
      <c r="C138" s="56" t="s">
        <v>42</v>
      </c>
      <c r="D138" s="56" t="s">
        <v>51</v>
      </c>
      <c r="E138" s="57">
        <v>101073</v>
      </c>
    </row>
    <row r="139" spans="1:10" x14ac:dyDescent="0.25">
      <c r="A139" s="56">
        <v>37043</v>
      </c>
      <c r="B139" s="58">
        <v>23700</v>
      </c>
      <c r="C139" s="56" t="s">
        <v>42</v>
      </c>
      <c r="D139" s="56" t="s">
        <v>51</v>
      </c>
      <c r="E139" s="57">
        <v>101021</v>
      </c>
      <c r="F139" s="58"/>
      <c r="G139" s="59"/>
      <c r="H139" s="59"/>
      <c r="I139" s="60"/>
      <c r="J139" s="58"/>
    </row>
    <row r="140" spans="1:10" x14ac:dyDescent="0.25">
      <c r="A140" s="56">
        <v>37043</v>
      </c>
      <c r="B140" s="63">
        <v>-7500</v>
      </c>
      <c r="C140" s="56" t="s">
        <v>34</v>
      </c>
      <c r="D140" t="s">
        <v>37</v>
      </c>
      <c r="E140">
        <v>26125</v>
      </c>
    </row>
    <row r="141" spans="1:10" x14ac:dyDescent="0.25">
      <c r="A141" s="56">
        <v>37073</v>
      </c>
      <c r="B141" s="58">
        <v>4027.21</v>
      </c>
      <c r="C141" s="56" t="s">
        <v>42</v>
      </c>
      <c r="D141" s="56" t="s">
        <v>51</v>
      </c>
      <c r="E141" s="57">
        <v>101073</v>
      </c>
    </row>
    <row r="142" spans="1:10" x14ac:dyDescent="0.25">
      <c r="A142" s="56">
        <v>37073</v>
      </c>
      <c r="B142" s="58">
        <v>24490</v>
      </c>
      <c r="C142" s="56" t="s">
        <v>42</v>
      </c>
      <c r="D142" s="56" t="s">
        <v>51</v>
      </c>
      <c r="E142" s="57">
        <v>101021</v>
      </c>
      <c r="F142" s="58"/>
      <c r="G142" s="59"/>
      <c r="H142" s="59"/>
      <c r="I142" s="60"/>
      <c r="J142" s="58"/>
    </row>
    <row r="143" spans="1:10" x14ac:dyDescent="0.25">
      <c r="A143" s="56">
        <v>37073</v>
      </c>
      <c r="B143" s="63">
        <v>-7750</v>
      </c>
      <c r="C143" s="56" t="s">
        <v>34</v>
      </c>
      <c r="D143" t="s">
        <v>37</v>
      </c>
      <c r="E143">
        <v>26125</v>
      </c>
    </row>
    <row r="144" spans="1:10" x14ac:dyDescent="0.25">
      <c r="A144" s="56">
        <v>37104</v>
      </c>
      <c r="B144" s="58">
        <v>4027.21</v>
      </c>
      <c r="C144" s="56" t="s">
        <v>42</v>
      </c>
      <c r="D144" s="56" t="s">
        <v>51</v>
      </c>
      <c r="E144" s="57">
        <v>101073</v>
      </c>
    </row>
    <row r="145" spans="1:10" x14ac:dyDescent="0.25">
      <c r="A145" s="56">
        <v>37104</v>
      </c>
      <c r="B145" s="58">
        <v>24490</v>
      </c>
      <c r="C145" s="56" t="s">
        <v>42</v>
      </c>
      <c r="D145" s="56" t="s">
        <v>51</v>
      </c>
      <c r="E145" s="57">
        <v>101021</v>
      </c>
      <c r="F145" s="58"/>
      <c r="G145" s="59"/>
      <c r="H145" s="59"/>
      <c r="I145" s="60"/>
      <c r="J145" s="58"/>
    </row>
    <row r="146" spans="1:10" x14ac:dyDescent="0.25">
      <c r="A146" s="56">
        <v>37104</v>
      </c>
      <c r="B146" s="63">
        <v>-7750</v>
      </c>
      <c r="C146" s="56" t="s">
        <v>34</v>
      </c>
      <c r="D146" t="s">
        <v>37</v>
      </c>
      <c r="E146">
        <v>26125</v>
      </c>
    </row>
    <row r="147" spans="1:10" x14ac:dyDescent="0.25">
      <c r="A147" s="56">
        <v>37135</v>
      </c>
      <c r="B147" s="58">
        <v>3897.3</v>
      </c>
      <c r="C147" s="56" t="s">
        <v>42</v>
      </c>
      <c r="D147" s="56" t="s">
        <v>51</v>
      </c>
      <c r="E147" s="57">
        <v>101073</v>
      </c>
    </row>
    <row r="148" spans="1:10" x14ac:dyDescent="0.25">
      <c r="A148" s="56">
        <v>37135</v>
      </c>
      <c r="B148" s="58">
        <v>23700</v>
      </c>
      <c r="C148" s="56" t="s">
        <v>42</v>
      </c>
      <c r="D148" s="56" t="s">
        <v>51</v>
      </c>
      <c r="E148" s="57">
        <v>101021</v>
      </c>
      <c r="F148" s="58"/>
      <c r="G148" s="59"/>
      <c r="H148" s="59"/>
      <c r="I148" s="60"/>
      <c r="J148" s="58"/>
    </row>
    <row r="149" spans="1:10" x14ac:dyDescent="0.25">
      <c r="A149" s="56">
        <v>37135</v>
      </c>
      <c r="B149" s="63">
        <v>-7500</v>
      </c>
      <c r="C149" s="56" t="s">
        <v>34</v>
      </c>
      <c r="D149" t="s">
        <v>37</v>
      </c>
      <c r="E149">
        <v>26125</v>
      </c>
    </row>
    <row r="150" spans="1:10" x14ac:dyDescent="0.25">
      <c r="A150" s="56"/>
      <c r="B150" s="63"/>
      <c r="C150" s="56"/>
    </row>
    <row r="151" spans="1:10" x14ac:dyDescent="0.25">
      <c r="A151" s="56">
        <v>37165</v>
      </c>
      <c r="B151" s="58">
        <v>4027.21</v>
      </c>
      <c r="C151" s="56" t="s">
        <v>42</v>
      </c>
      <c r="D151" s="56" t="s">
        <v>51</v>
      </c>
      <c r="E151" s="57">
        <v>101073</v>
      </c>
    </row>
    <row r="152" spans="1:10" x14ac:dyDescent="0.25">
      <c r="A152" s="56">
        <v>37165</v>
      </c>
      <c r="B152" s="58">
        <v>24490</v>
      </c>
      <c r="C152" s="56" t="s">
        <v>42</v>
      </c>
      <c r="D152" s="56" t="s">
        <v>51</v>
      </c>
      <c r="E152" s="57">
        <v>101021</v>
      </c>
      <c r="F152" s="58"/>
      <c r="G152" s="59"/>
      <c r="H152" s="59"/>
      <c r="I152" s="60"/>
      <c r="J152" s="58"/>
    </row>
    <row r="153" spans="1:10" x14ac:dyDescent="0.25">
      <c r="A153" s="56">
        <v>37165</v>
      </c>
      <c r="B153" s="63">
        <v>-7750</v>
      </c>
      <c r="C153" s="56" t="s">
        <v>34</v>
      </c>
      <c r="D153" t="s">
        <v>37</v>
      </c>
      <c r="E153">
        <v>26125</v>
      </c>
    </row>
    <row r="154" spans="1:10" x14ac:dyDescent="0.25">
      <c r="A154" s="56"/>
      <c r="B154" s="63">
        <f>SUM(B151:B153)</f>
        <v>20767.21</v>
      </c>
      <c r="C154" s="56"/>
    </row>
    <row r="155" spans="1:10" x14ac:dyDescent="0.25">
      <c r="A155" s="56">
        <v>37196</v>
      </c>
      <c r="B155" s="58">
        <v>3897.3</v>
      </c>
      <c r="C155" s="56" t="s">
        <v>42</v>
      </c>
      <c r="D155" s="56" t="s">
        <v>51</v>
      </c>
      <c r="E155" s="57">
        <v>101073</v>
      </c>
    </row>
    <row r="156" spans="1:10" x14ac:dyDescent="0.25">
      <c r="A156" s="56">
        <v>37196</v>
      </c>
      <c r="B156" s="58">
        <v>23700</v>
      </c>
      <c r="C156" s="56" t="s">
        <v>42</v>
      </c>
      <c r="D156" s="56" t="s">
        <v>51</v>
      </c>
      <c r="E156" s="57">
        <v>101021</v>
      </c>
      <c r="F156" s="58"/>
      <c r="G156" s="59"/>
      <c r="H156" s="59"/>
      <c r="I156" s="60"/>
      <c r="J156" s="58"/>
    </row>
    <row r="157" spans="1:10" x14ac:dyDescent="0.25">
      <c r="A157" s="56">
        <v>37196</v>
      </c>
      <c r="B157" s="63">
        <v>-7500</v>
      </c>
      <c r="C157" s="56" t="s">
        <v>34</v>
      </c>
      <c r="D157" t="s">
        <v>37</v>
      </c>
      <c r="E157">
        <v>26125</v>
      </c>
    </row>
    <row r="158" spans="1:10" x14ac:dyDescent="0.25">
      <c r="A158" s="56">
        <v>37226</v>
      </c>
      <c r="B158" s="58">
        <v>4027.21</v>
      </c>
      <c r="C158" s="56" t="s">
        <v>42</v>
      </c>
      <c r="D158" s="56" t="s">
        <v>51</v>
      </c>
      <c r="E158" s="57">
        <v>101073</v>
      </c>
    </row>
    <row r="159" spans="1:10" x14ac:dyDescent="0.25">
      <c r="A159" s="56">
        <v>37226</v>
      </c>
      <c r="B159" s="58">
        <v>24490</v>
      </c>
      <c r="C159" s="56" t="s">
        <v>42</v>
      </c>
      <c r="D159" s="56" t="s">
        <v>51</v>
      </c>
      <c r="E159" s="57">
        <v>101021</v>
      </c>
      <c r="F159" s="58"/>
      <c r="G159" s="59"/>
      <c r="H159" s="59"/>
      <c r="I159" s="60"/>
      <c r="J159" s="58"/>
    </row>
    <row r="160" spans="1:10" x14ac:dyDescent="0.25">
      <c r="A160" s="56">
        <v>37226</v>
      </c>
      <c r="B160" s="63">
        <v>-7750</v>
      </c>
      <c r="C160" s="56" t="s">
        <v>34</v>
      </c>
      <c r="D160" t="s">
        <v>37</v>
      </c>
      <c r="E160">
        <v>26125</v>
      </c>
    </row>
    <row r="161" spans="1:10" x14ac:dyDescent="0.25">
      <c r="A161" s="56"/>
      <c r="B161" s="63"/>
      <c r="C161" s="56"/>
    </row>
    <row r="162" spans="1:10" x14ac:dyDescent="0.25">
      <c r="A162" s="56">
        <v>37257</v>
      </c>
      <c r="B162" s="58">
        <v>4027.21</v>
      </c>
      <c r="C162" s="56" t="s">
        <v>42</v>
      </c>
      <c r="D162" s="56" t="s">
        <v>51</v>
      </c>
      <c r="E162" s="57">
        <v>101073</v>
      </c>
    </row>
    <row r="163" spans="1:10" x14ac:dyDescent="0.25">
      <c r="A163" s="56">
        <v>37257</v>
      </c>
      <c r="B163" s="58">
        <v>24490</v>
      </c>
      <c r="C163" s="56" t="s">
        <v>42</v>
      </c>
      <c r="D163" s="56" t="s">
        <v>51</v>
      </c>
      <c r="E163" s="57">
        <v>101021</v>
      </c>
      <c r="F163" s="58"/>
      <c r="G163" s="59"/>
      <c r="H163" s="59"/>
      <c r="I163" s="60"/>
      <c r="J163" s="58"/>
    </row>
    <row r="164" spans="1:10" x14ac:dyDescent="0.25">
      <c r="A164" s="56">
        <v>37257</v>
      </c>
      <c r="B164" s="63">
        <v>-7750</v>
      </c>
      <c r="C164" s="56" t="s">
        <v>34</v>
      </c>
      <c r="D164" t="s">
        <v>37</v>
      </c>
      <c r="E164">
        <v>26125</v>
      </c>
    </row>
    <row r="165" spans="1:10" x14ac:dyDescent="0.25">
      <c r="A165" s="56"/>
      <c r="B165" s="63">
        <f>SUM(B162:B164)</f>
        <v>20767.21</v>
      </c>
      <c r="C165" s="56"/>
    </row>
    <row r="166" spans="1:10" x14ac:dyDescent="0.25">
      <c r="A166" s="56">
        <v>37288</v>
      </c>
      <c r="B166" s="58">
        <v>3637.48</v>
      </c>
      <c r="C166" s="56" t="s">
        <v>42</v>
      </c>
      <c r="D166" s="56" t="s">
        <v>51</v>
      </c>
      <c r="E166" s="57">
        <v>101073</v>
      </c>
    </row>
    <row r="167" spans="1:10" x14ac:dyDescent="0.25">
      <c r="A167" s="56">
        <v>37288</v>
      </c>
      <c r="B167" s="58">
        <v>22120</v>
      </c>
      <c r="C167" s="56" t="s">
        <v>42</v>
      </c>
      <c r="D167" s="56" t="s">
        <v>51</v>
      </c>
      <c r="E167" s="57">
        <v>101021</v>
      </c>
      <c r="F167" s="58"/>
      <c r="G167" s="59"/>
      <c r="H167" s="59"/>
      <c r="I167" s="60"/>
      <c r="J167" s="58"/>
    </row>
    <row r="168" spans="1:10" x14ac:dyDescent="0.25">
      <c r="A168" s="56">
        <v>37288</v>
      </c>
      <c r="B168" s="63">
        <v>-7000</v>
      </c>
      <c r="C168" s="56" t="s">
        <v>34</v>
      </c>
      <c r="D168" t="s">
        <v>37</v>
      </c>
      <c r="E168">
        <v>26125</v>
      </c>
    </row>
    <row r="169" spans="1:10" x14ac:dyDescent="0.25">
      <c r="A169" s="56"/>
      <c r="B169" s="63">
        <f>SUM(B166:B168)</f>
        <v>18757.48</v>
      </c>
      <c r="C169" s="56"/>
    </row>
    <row r="170" spans="1:10" x14ac:dyDescent="0.25">
      <c r="A170" s="56">
        <v>37316</v>
      </c>
      <c r="B170" s="58">
        <v>4027.21</v>
      </c>
      <c r="C170" s="56" t="s">
        <v>42</v>
      </c>
      <c r="D170" s="56" t="s">
        <v>51</v>
      </c>
      <c r="E170" s="57">
        <v>101073</v>
      </c>
    </row>
    <row r="171" spans="1:10" x14ac:dyDescent="0.25">
      <c r="A171" s="56">
        <v>37316</v>
      </c>
      <c r="B171" s="58">
        <v>24490</v>
      </c>
      <c r="C171" s="56" t="s">
        <v>42</v>
      </c>
      <c r="D171" s="56" t="s">
        <v>51</v>
      </c>
      <c r="E171" s="57">
        <v>101021</v>
      </c>
      <c r="F171" s="58"/>
      <c r="G171" s="59"/>
      <c r="H171" s="59"/>
      <c r="I171" s="60"/>
      <c r="J171" s="58"/>
    </row>
    <row r="172" spans="1:10" x14ac:dyDescent="0.25">
      <c r="A172" s="56">
        <v>37316</v>
      </c>
      <c r="B172" s="63">
        <v>-7750</v>
      </c>
      <c r="C172" s="56" t="s">
        <v>34</v>
      </c>
      <c r="D172" t="s">
        <v>37</v>
      </c>
      <c r="E172">
        <v>26125</v>
      </c>
    </row>
    <row r="173" spans="1:10" x14ac:dyDescent="0.25">
      <c r="A173" s="56"/>
      <c r="B173" s="63"/>
      <c r="C173" s="56"/>
    </row>
    <row r="174" spans="1:10" x14ac:dyDescent="0.25">
      <c r="A174" s="56">
        <v>37347</v>
      </c>
      <c r="B174" s="58">
        <v>3897.3</v>
      </c>
      <c r="C174" s="56" t="s">
        <v>42</v>
      </c>
      <c r="D174" s="56" t="s">
        <v>51</v>
      </c>
      <c r="E174" s="57">
        <v>101073</v>
      </c>
    </row>
    <row r="175" spans="1:10" x14ac:dyDescent="0.25">
      <c r="A175" s="56">
        <v>37347</v>
      </c>
      <c r="B175" s="58">
        <v>23700</v>
      </c>
      <c r="C175" s="56" t="s">
        <v>42</v>
      </c>
      <c r="D175" s="56" t="s">
        <v>51</v>
      </c>
      <c r="E175" s="57">
        <v>101021</v>
      </c>
      <c r="F175" s="58"/>
      <c r="G175" s="59"/>
      <c r="H175" s="59"/>
      <c r="I175" s="60"/>
      <c r="J175" s="58"/>
    </row>
    <row r="176" spans="1:10" x14ac:dyDescent="0.25">
      <c r="A176" s="56">
        <v>37347</v>
      </c>
      <c r="B176" s="63">
        <v>-7500</v>
      </c>
      <c r="C176" s="56" t="s">
        <v>34</v>
      </c>
      <c r="D176" t="s">
        <v>37</v>
      </c>
      <c r="E176">
        <v>26125</v>
      </c>
    </row>
    <row r="177" spans="1:10" x14ac:dyDescent="0.25">
      <c r="A177" s="56"/>
      <c r="B177" s="63">
        <f>SUM(B174:B176)</f>
        <v>20097.3</v>
      </c>
      <c r="C177" s="56"/>
    </row>
    <row r="178" spans="1:10" x14ac:dyDescent="0.25">
      <c r="A178" s="56">
        <v>37377</v>
      </c>
      <c r="B178" s="58">
        <v>4027.21</v>
      </c>
      <c r="C178" s="56" t="s">
        <v>42</v>
      </c>
      <c r="D178" s="56" t="s">
        <v>51</v>
      </c>
      <c r="E178" s="57">
        <v>101073</v>
      </c>
    </row>
    <row r="179" spans="1:10" x14ac:dyDescent="0.25">
      <c r="A179" s="56">
        <v>37377</v>
      </c>
      <c r="B179" s="58">
        <v>24490</v>
      </c>
      <c r="C179" s="56" t="s">
        <v>42</v>
      </c>
      <c r="D179" s="56" t="s">
        <v>51</v>
      </c>
      <c r="E179" s="57">
        <v>101021</v>
      </c>
      <c r="F179" s="58"/>
      <c r="G179" s="59"/>
      <c r="H179" s="59"/>
      <c r="I179" s="60"/>
      <c r="J179" s="58"/>
    </row>
    <row r="180" spans="1:10" x14ac:dyDescent="0.25">
      <c r="A180" s="56">
        <v>37377</v>
      </c>
      <c r="B180" s="63">
        <v>-7750</v>
      </c>
      <c r="C180" s="56" t="s">
        <v>34</v>
      </c>
      <c r="D180" t="s">
        <v>37</v>
      </c>
      <c r="E180">
        <v>26125</v>
      </c>
    </row>
    <row r="181" spans="1:10" x14ac:dyDescent="0.25">
      <c r="A181" s="56">
        <v>37408</v>
      </c>
      <c r="B181" s="58">
        <v>3897.3</v>
      </c>
      <c r="C181" s="56" t="s">
        <v>42</v>
      </c>
      <c r="D181" s="56" t="s">
        <v>51</v>
      </c>
      <c r="E181" s="57">
        <v>101073</v>
      </c>
    </row>
    <row r="182" spans="1:10" x14ac:dyDescent="0.25">
      <c r="A182" s="56">
        <v>37408</v>
      </c>
      <c r="B182" s="58">
        <v>23700</v>
      </c>
      <c r="C182" s="56" t="s">
        <v>42</v>
      </c>
      <c r="D182" s="56" t="s">
        <v>51</v>
      </c>
      <c r="E182" s="57">
        <v>101021</v>
      </c>
      <c r="F182" s="58"/>
      <c r="G182" s="59"/>
      <c r="H182" s="59"/>
      <c r="I182" s="60"/>
      <c r="J182" s="58"/>
    </row>
    <row r="183" spans="1:10" x14ac:dyDescent="0.25">
      <c r="A183" s="56">
        <v>37408</v>
      </c>
      <c r="B183" s="63">
        <v>-7500</v>
      </c>
      <c r="C183" s="56" t="s">
        <v>34</v>
      </c>
      <c r="D183" t="s">
        <v>37</v>
      </c>
      <c r="E183">
        <v>26125</v>
      </c>
    </row>
    <row r="184" spans="1:10" x14ac:dyDescent="0.25">
      <c r="A184" s="56">
        <v>37438</v>
      </c>
      <c r="B184" s="58">
        <v>4027.21</v>
      </c>
      <c r="C184" s="56" t="s">
        <v>42</v>
      </c>
      <c r="D184" s="56" t="s">
        <v>51</v>
      </c>
      <c r="E184" s="57">
        <v>101073</v>
      </c>
    </row>
    <row r="185" spans="1:10" x14ac:dyDescent="0.25">
      <c r="A185" s="56">
        <v>37438</v>
      </c>
      <c r="B185" s="58">
        <v>24490</v>
      </c>
      <c r="C185" s="56" t="s">
        <v>42</v>
      </c>
      <c r="D185" s="56" t="s">
        <v>51</v>
      </c>
      <c r="E185" s="57">
        <v>101021</v>
      </c>
      <c r="F185" s="58"/>
      <c r="G185" s="59"/>
      <c r="H185" s="59"/>
      <c r="I185" s="60"/>
      <c r="J185" s="58"/>
    </row>
    <row r="186" spans="1:10" x14ac:dyDescent="0.25">
      <c r="A186" s="56">
        <v>37438</v>
      </c>
      <c r="B186" s="63">
        <v>-7750</v>
      </c>
      <c r="C186" s="56" t="s">
        <v>34</v>
      </c>
      <c r="D186" t="s">
        <v>37</v>
      </c>
      <c r="E186">
        <v>26125</v>
      </c>
    </row>
    <row r="187" spans="1:10" x14ac:dyDescent="0.25">
      <c r="A187" s="56">
        <v>37469</v>
      </c>
      <c r="B187" s="58">
        <v>4027.21</v>
      </c>
      <c r="C187" s="56" t="s">
        <v>42</v>
      </c>
      <c r="D187" s="56" t="s">
        <v>51</v>
      </c>
      <c r="E187" s="57">
        <v>101073</v>
      </c>
    </row>
    <row r="188" spans="1:10" x14ac:dyDescent="0.25">
      <c r="A188" s="56">
        <v>37469</v>
      </c>
      <c r="B188" s="58">
        <v>24490</v>
      </c>
      <c r="C188" s="56" t="s">
        <v>42</v>
      </c>
      <c r="D188" s="56" t="s">
        <v>51</v>
      </c>
      <c r="E188" s="57">
        <v>101021</v>
      </c>
      <c r="F188" s="58"/>
      <c r="G188" s="59"/>
      <c r="H188" s="59"/>
      <c r="I188" s="60"/>
      <c r="J188" s="58"/>
    </row>
    <row r="189" spans="1:10" x14ac:dyDescent="0.25">
      <c r="A189" s="56">
        <v>37469</v>
      </c>
      <c r="B189" s="63">
        <v>-7750</v>
      </c>
      <c r="C189" s="56" t="s">
        <v>34</v>
      </c>
      <c r="D189" t="s">
        <v>37</v>
      </c>
      <c r="E189">
        <v>26125</v>
      </c>
    </row>
    <row r="190" spans="1:10" x14ac:dyDescent="0.25">
      <c r="A190" s="56">
        <v>37500</v>
      </c>
      <c r="B190" s="58">
        <v>3897.3</v>
      </c>
      <c r="C190" s="56" t="s">
        <v>42</v>
      </c>
      <c r="D190" s="56" t="s">
        <v>51</v>
      </c>
      <c r="E190" s="57">
        <v>101073</v>
      </c>
    </row>
    <row r="191" spans="1:10" x14ac:dyDescent="0.25">
      <c r="A191" s="56">
        <v>37500</v>
      </c>
      <c r="B191" s="58">
        <v>23700</v>
      </c>
      <c r="C191" s="56" t="s">
        <v>42</v>
      </c>
      <c r="D191" s="56" t="s">
        <v>51</v>
      </c>
      <c r="E191" s="57">
        <v>101021</v>
      </c>
      <c r="F191" s="58"/>
      <c r="G191" s="59"/>
      <c r="H191" s="59"/>
      <c r="I191" s="60"/>
      <c r="J191" s="58"/>
    </row>
    <row r="192" spans="1:10" x14ac:dyDescent="0.25">
      <c r="A192" s="56">
        <v>37500</v>
      </c>
      <c r="B192" s="63">
        <v>-7500</v>
      </c>
      <c r="C192" s="56" t="s">
        <v>34</v>
      </c>
      <c r="D192" t="s">
        <v>37</v>
      </c>
      <c r="E192">
        <v>26125</v>
      </c>
    </row>
    <row r="193" spans="1:10" x14ac:dyDescent="0.25">
      <c r="A193" s="56">
        <v>37530</v>
      </c>
      <c r="B193" s="58">
        <v>4027.21</v>
      </c>
      <c r="C193" s="56" t="s">
        <v>42</v>
      </c>
      <c r="D193" s="56" t="s">
        <v>51</v>
      </c>
      <c r="E193" s="57">
        <v>101073</v>
      </c>
    </row>
    <row r="194" spans="1:10" x14ac:dyDescent="0.25">
      <c r="A194" s="56">
        <v>37530</v>
      </c>
      <c r="B194" s="58">
        <v>24490</v>
      </c>
      <c r="C194" s="56" t="s">
        <v>42</v>
      </c>
      <c r="D194" s="56" t="s">
        <v>51</v>
      </c>
      <c r="E194" s="57">
        <v>101021</v>
      </c>
      <c r="F194" s="58"/>
      <c r="G194" s="59"/>
      <c r="H194" s="59"/>
      <c r="I194" s="60"/>
      <c r="J194" s="58"/>
    </row>
    <row r="195" spans="1:10" x14ac:dyDescent="0.25">
      <c r="A195" s="56">
        <v>37530</v>
      </c>
      <c r="B195" s="63">
        <v>-7750</v>
      </c>
      <c r="C195" s="56" t="s">
        <v>34</v>
      </c>
      <c r="D195" t="s">
        <v>37</v>
      </c>
      <c r="E195">
        <v>26125</v>
      </c>
    </row>
    <row r="196" spans="1:10" x14ac:dyDescent="0.25">
      <c r="A196" s="56">
        <v>37561</v>
      </c>
      <c r="B196" s="58">
        <v>3897.3</v>
      </c>
      <c r="C196" s="56" t="s">
        <v>42</v>
      </c>
      <c r="D196" s="56" t="s">
        <v>51</v>
      </c>
      <c r="E196" s="57">
        <v>101073</v>
      </c>
    </row>
    <row r="197" spans="1:10" x14ac:dyDescent="0.25">
      <c r="A197" s="56">
        <v>37561</v>
      </c>
      <c r="B197" s="58">
        <v>23700</v>
      </c>
      <c r="C197" s="56" t="s">
        <v>42</v>
      </c>
      <c r="D197" s="56" t="s">
        <v>51</v>
      </c>
      <c r="E197" s="57">
        <v>101021</v>
      </c>
      <c r="F197" s="58"/>
      <c r="G197" s="59"/>
      <c r="H197" s="59"/>
      <c r="I197" s="60"/>
      <c r="J197" s="58"/>
    </row>
    <row r="198" spans="1:10" x14ac:dyDescent="0.25">
      <c r="A198" s="56">
        <v>37561</v>
      </c>
      <c r="B198" s="63">
        <v>-7500</v>
      </c>
      <c r="C198" s="56" t="s">
        <v>34</v>
      </c>
      <c r="D198" t="s">
        <v>37</v>
      </c>
      <c r="E198">
        <v>26125</v>
      </c>
    </row>
    <row r="199" spans="1:10" x14ac:dyDescent="0.25">
      <c r="A199" s="56"/>
      <c r="B199" s="63"/>
      <c r="C199" s="56"/>
    </row>
    <row r="200" spans="1:10" x14ac:dyDescent="0.25">
      <c r="A200" s="56">
        <v>37591</v>
      </c>
      <c r="B200" s="58">
        <v>4027.21</v>
      </c>
      <c r="C200" s="56" t="s">
        <v>42</v>
      </c>
      <c r="D200" s="56" t="s">
        <v>51</v>
      </c>
      <c r="E200" s="57">
        <v>101073</v>
      </c>
    </row>
    <row r="201" spans="1:10" x14ac:dyDescent="0.25">
      <c r="A201" s="56">
        <v>37591</v>
      </c>
      <c r="B201" s="58">
        <v>24490</v>
      </c>
      <c r="C201" s="56" t="s">
        <v>42</v>
      </c>
      <c r="D201" s="56" t="s">
        <v>51</v>
      </c>
      <c r="E201" s="57">
        <v>101021</v>
      </c>
      <c r="F201" s="58"/>
      <c r="G201" s="59"/>
      <c r="H201" s="59"/>
      <c r="I201" s="60"/>
      <c r="J201" s="58"/>
    </row>
    <row r="202" spans="1:10" x14ac:dyDescent="0.25">
      <c r="A202" s="56">
        <v>37591</v>
      </c>
      <c r="B202" s="63">
        <v>-7750</v>
      </c>
      <c r="C202" s="56" t="s">
        <v>34</v>
      </c>
      <c r="D202" t="s">
        <v>37</v>
      </c>
      <c r="E202">
        <v>26125</v>
      </c>
    </row>
    <row r="203" spans="1:10" x14ac:dyDescent="0.25">
      <c r="A203" s="56"/>
      <c r="B203" s="63">
        <f>SUM(B200:B202)</f>
        <v>20767.21</v>
      </c>
      <c r="C203" s="56"/>
    </row>
    <row r="204" spans="1:10" x14ac:dyDescent="0.25">
      <c r="A204" s="56">
        <v>37622</v>
      </c>
      <c r="B204" s="58">
        <v>4027.21</v>
      </c>
      <c r="C204" s="56" t="s">
        <v>42</v>
      </c>
      <c r="D204" s="56" t="s">
        <v>51</v>
      </c>
      <c r="E204" s="57">
        <v>101073</v>
      </c>
    </row>
    <row r="205" spans="1:10" x14ac:dyDescent="0.25">
      <c r="A205" s="56">
        <v>37622</v>
      </c>
      <c r="B205" s="58">
        <v>23265.5</v>
      </c>
      <c r="C205" s="56" t="s">
        <v>42</v>
      </c>
      <c r="D205" s="56" t="s">
        <v>51</v>
      </c>
      <c r="E205" s="57">
        <v>101021</v>
      </c>
      <c r="G205" s="59"/>
      <c r="H205" s="59"/>
      <c r="I205" s="60"/>
      <c r="J205" s="58"/>
    </row>
    <row r="206" spans="1:10" x14ac:dyDescent="0.25">
      <c r="A206" s="56">
        <v>37622</v>
      </c>
      <c r="B206" s="63">
        <v>-7750</v>
      </c>
      <c r="C206" s="56" t="s">
        <v>34</v>
      </c>
      <c r="D206" t="s">
        <v>37</v>
      </c>
      <c r="E206">
        <v>26125</v>
      </c>
    </row>
    <row r="207" spans="1:10" x14ac:dyDescent="0.25">
      <c r="A207" s="56"/>
      <c r="B207" s="63">
        <f>SUM(B204:B206)</f>
        <v>19542.71</v>
      </c>
      <c r="C207" s="56"/>
    </row>
    <row r="208" spans="1:10" x14ac:dyDescent="0.25">
      <c r="A208" s="56">
        <v>37653</v>
      </c>
      <c r="B208" s="58">
        <v>3637.48</v>
      </c>
      <c r="C208" s="56" t="s">
        <v>42</v>
      </c>
      <c r="D208" s="56" t="s">
        <v>51</v>
      </c>
      <c r="E208" s="57">
        <v>101073</v>
      </c>
    </row>
    <row r="209" spans="1:10" x14ac:dyDescent="0.25">
      <c r="A209" s="56">
        <v>37653</v>
      </c>
      <c r="B209" s="58">
        <v>21014</v>
      </c>
      <c r="C209" s="56" t="s">
        <v>42</v>
      </c>
      <c r="D209" s="56" t="s">
        <v>51</v>
      </c>
      <c r="E209" s="57">
        <v>101021</v>
      </c>
      <c r="G209" s="59"/>
      <c r="H209" s="59"/>
      <c r="I209" s="60"/>
      <c r="J209" s="58"/>
    </row>
    <row r="210" spans="1:10" x14ac:dyDescent="0.25">
      <c r="A210" s="56">
        <v>37653</v>
      </c>
      <c r="B210" s="63">
        <v>-7000</v>
      </c>
      <c r="C210" s="56" t="s">
        <v>34</v>
      </c>
      <c r="D210" t="s">
        <v>37</v>
      </c>
      <c r="E210">
        <v>26125</v>
      </c>
    </row>
    <row r="211" spans="1:10" x14ac:dyDescent="0.25">
      <c r="A211" s="56"/>
      <c r="B211" s="63">
        <f>SUM(B208:B210)</f>
        <v>17651.48</v>
      </c>
      <c r="C211" s="56"/>
    </row>
    <row r="212" spans="1:10" x14ac:dyDescent="0.25">
      <c r="A212" s="56">
        <v>37681</v>
      </c>
      <c r="B212" s="58">
        <v>4027.21</v>
      </c>
      <c r="C212" s="56" t="s">
        <v>42</v>
      </c>
      <c r="D212" s="56" t="s">
        <v>51</v>
      </c>
      <c r="E212" s="57">
        <v>101073</v>
      </c>
    </row>
    <row r="213" spans="1:10" x14ac:dyDescent="0.25">
      <c r="A213" s="56">
        <v>37681</v>
      </c>
      <c r="B213" s="58">
        <v>23265.5</v>
      </c>
      <c r="C213" s="56" t="s">
        <v>42</v>
      </c>
      <c r="D213" s="56" t="s">
        <v>51</v>
      </c>
      <c r="E213" s="57">
        <v>101021</v>
      </c>
      <c r="G213" s="59"/>
      <c r="H213" s="59"/>
      <c r="I213" s="60"/>
      <c r="J213" s="58"/>
    </row>
    <row r="214" spans="1:10" x14ac:dyDescent="0.25">
      <c r="A214" s="56">
        <v>37681</v>
      </c>
      <c r="B214" s="63">
        <v>-7750</v>
      </c>
      <c r="C214" s="56" t="s">
        <v>34</v>
      </c>
      <c r="D214" t="s">
        <v>37</v>
      </c>
      <c r="E214">
        <v>26125</v>
      </c>
    </row>
    <row r="215" spans="1:10" x14ac:dyDescent="0.25">
      <c r="A215" s="56"/>
      <c r="B215" s="63"/>
      <c r="C215" s="56"/>
    </row>
    <row r="216" spans="1:10" x14ac:dyDescent="0.25">
      <c r="A216" s="56">
        <v>37712</v>
      </c>
      <c r="B216" s="58">
        <v>3897.3</v>
      </c>
      <c r="C216" s="56" t="s">
        <v>42</v>
      </c>
      <c r="D216" s="56" t="s">
        <v>51</v>
      </c>
      <c r="E216" s="57">
        <v>101073</v>
      </c>
    </row>
    <row r="217" spans="1:10" x14ac:dyDescent="0.25">
      <c r="A217" s="56">
        <v>37712</v>
      </c>
      <c r="B217" s="58">
        <v>22515</v>
      </c>
      <c r="C217" s="56" t="s">
        <v>42</v>
      </c>
      <c r="D217" s="56" t="s">
        <v>51</v>
      </c>
      <c r="E217" s="57">
        <v>101021</v>
      </c>
      <c r="G217" s="59"/>
      <c r="H217" s="59"/>
      <c r="I217" s="60"/>
      <c r="J217" s="58"/>
    </row>
    <row r="218" spans="1:10" x14ac:dyDescent="0.25">
      <c r="A218" s="56">
        <v>37712</v>
      </c>
      <c r="B218" s="63">
        <v>-7500</v>
      </c>
      <c r="C218" s="56" t="s">
        <v>34</v>
      </c>
      <c r="D218" t="s">
        <v>37</v>
      </c>
      <c r="E218">
        <v>26125</v>
      </c>
    </row>
    <row r="219" spans="1:10" x14ac:dyDescent="0.25">
      <c r="A219" s="56"/>
      <c r="B219" s="63">
        <f>SUM(B216:B218)</f>
        <v>18912.3</v>
      </c>
      <c r="C219" s="56"/>
    </row>
    <row r="220" spans="1:10" x14ac:dyDescent="0.25">
      <c r="A220" s="56">
        <v>37742</v>
      </c>
      <c r="B220" s="58">
        <v>4027.21</v>
      </c>
      <c r="C220" s="56" t="s">
        <v>42</v>
      </c>
      <c r="D220" s="56" t="s">
        <v>51</v>
      </c>
      <c r="E220" s="57">
        <v>101073</v>
      </c>
    </row>
    <row r="221" spans="1:10" x14ac:dyDescent="0.25">
      <c r="A221" s="56">
        <v>37742</v>
      </c>
      <c r="B221" s="58">
        <v>23265.5</v>
      </c>
      <c r="C221" s="56" t="s">
        <v>42</v>
      </c>
      <c r="D221" s="56" t="s">
        <v>51</v>
      </c>
      <c r="E221" s="57">
        <v>101021</v>
      </c>
      <c r="G221" s="59"/>
      <c r="H221" s="59"/>
      <c r="I221" s="60"/>
      <c r="J221" s="58"/>
    </row>
    <row r="222" spans="1:10" x14ac:dyDescent="0.25">
      <c r="A222" s="56">
        <v>37742</v>
      </c>
      <c r="B222" s="63">
        <v>-7750</v>
      </c>
      <c r="C222" s="56" t="s">
        <v>34</v>
      </c>
      <c r="D222" t="s">
        <v>37</v>
      </c>
      <c r="E222">
        <v>26125</v>
      </c>
    </row>
    <row r="223" spans="1:10" x14ac:dyDescent="0.25">
      <c r="A223" s="56">
        <v>37773</v>
      </c>
      <c r="B223" s="58">
        <v>3897.3</v>
      </c>
      <c r="C223" s="56" t="s">
        <v>42</v>
      </c>
      <c r="D223" s="56" t="s">
        <v>51</v>
      </c>
      <c r="E223" s="57">
        <v>101073</v>
      </c>
    </row>
    <row r="224" spans="1:10" x14ac:dyDescent="0.25">
      <c r="A224" s="56">
        <v>37773</v>
      </c>
      <c r="B224" s="58">
        <v>22515</v>
      </c>
      <c r="C224" s="56" t="s">
        <v>42</v>
      </c>
      <c r="D224" s="56" t="s">
        <v>51</v>
      </c>
      <c r="E224" s="57">
        <v>101021</v>
      </c>
      <c r="G224" s="59"/>
      <c r="H224" s="59"/>
      <c r="I224" s="60"/>
      <c r="J224" s="58"/>
    </row>
    <row r="225" spans="1:10" x14ac:dyDescent="0.25">
      <c r="A225" s="56">
        <v>37803</v>
      </c>
      <c r="B225" s="58">
        <v>4027.21</v>
      </c>
      <c r="C225" s="56" t="s">
        <v>42</v>
      </c>
      <c r="D225" s="56" t="s">
        <v>51</v>
      </c>
      <c r="E225" s="57">
        <v>101073</v>
      </c>
    </row>
    <row r="226" spans="1:10" x14ac:dyDescent="0.25">
      <c r="A226" s="56">
        <v>37803</v>
      </c>
      <c r="B226" s="58">
        <v>23265.5</v>
      </c>
      <c r="C226" s="56" t="s">
        <v>42</v>
      </c>
      <c r="D226" s="56" t="s">
        <v>51</v>
      </c>
      <c r="E226" s="57">
        <v>101021</v>
      </c>
      <c r="G226" s="59"/>
      <c r="H226" s="59"/>
      <c r="I226" s="60"/>
      <c r="J226" s="58"/>
    </row>
    <row r="227" spans="1:10" x14ac:dyDescent="0.25">
      <c r="A227" s="56">
        <v>37834</v>
      </c>
      <c r="B227" s="58">
        <v>4027.21</v>
      </c>
      <c r="C227" s="56" t="s">
        <v>42</v>
      </c>
      <c r="D227" s="56" t="s">
        <v>51</v>
      </c>
      <c r="E227" s="57">
        <v>101073</v>
      </c>
    </row>
    <row r="228" spans="1:10" x14ac:dyDescent="0.25">
      <c r="A228" s="56">
        <v>37834</v>
      </c>
      <c r="B228" s="58">
        <v>23265.5</v>
      </c>
      <c r="C228" s="56" t="s">
        <v>42</v>
      </c>
      <c r="D228" s="56" t="s">
        <v>51</v>
      </c>
      <c r="E228" s="57">
        <v>101021</v>
      </c>
      <c r="G228" s="59"/>
      <c r="H228" s="59"/>
      <c r="I228" s="60"/>
      <c r="J228" s="58"/>
    </row>
    <row r="229" spans="1:10" x14ac:dyDescent="0.25">
      <c r="A229" s="56">
        <v>37865</v>
      </c>
      <c r="B229" s="58">
        <v>3897.3</v>
      </c>
      <c r="C229" s="56" t="s">
        <v>42</v>
      </c>
      <c r="D229" s="56" t="s">
        <v>51</v>
      </c>
      <c r="E229" s="57">
        <v>101073</v>
      </c>
    </row>
    <row r="230" spans="1:10" x14ac:dyDescent="0.25">
      <c r="A230" s="56">
        <v>37865</v>
      </c>
      <c r="B230" s="58">
        <v>22515</v>
      </c>
      <c r="C230" s="56" t="s">
        <v>42</v>
      </c>
      <c r="D230" s="56" t="s">
        <v>51</v>
      </c>
      <c r="E230" s="57">
        <v>101021</v>
      </c>
      <c r="G230" s="59"/>
      <c r="H230" s="59"/>
      <c r="I230" s="60"/>
      <c r="J230" s="58"/>
    </row>
    <row r="231" spans="1:10" x14ac:dyDescent="0.25">
      <c r="A231" s="56">
        <v>37895</v>
      </c>
      <c r="B231" s="58">
        <v>4027.21</v>
      </c>
      <c r="C231" s="56" t="s">
        <v>42</v>
      </c>
      <c r="D231" s="56" t="s">
        <v>51</v>
      </c>
      <c r="E231" s="57">
        <v>101073</v>
      </c>
    </row>
    <row r="232" spans="1:10" x14ac:dyDescent="0.25">
      <c r="A232" s="56">
        <v>37895</v>
      </c>
      <c r="B232" s="58">
        <v>23265.5</v>
      </c>
      <c r="C232" s="56" t="s">
        <v>42</v>
      </c>
      <c r="D232" s="56" t="s">
        <v>51</v>
      </c>
      <c r="E232" s="57">
        <v>101021</v>
      </c>
      <c r="G232" s="59"/>
      <c r="H232" s="59"/>
      <c r="I232" s="60"/>
      <c r="J232" s="58"/>
    </row>
    <row r="233" spans="1:10" x14ac:dyDescent="0.25">
      <c r="A233" s="56"/>
      <c r="B233" s="58"/>
      <c r="C233" s="56"/>
      <c r="D233" s="56"/>
      <c r="E233" s="57"/>
      <c r="G233" s="59"/>
      <c r="H233" s="59"/>
      <c r="I233" s="60"/>
      <c r="J233" s="58"/>
    </row>
    <row r="234" spans="1:10" x14ac:dyDescent="0.25">
      <c r="A234" s="56">
        <v>37926</v>
      </c>
      <c r="B234" s="58">
        <v>3897.3</v>
      </c>
      <c r="C234" s="56" t="s">
        <v>42</v>
      </c>
      <c r="D234" s="56" t="s">
        <v>51</v>
      </c>
      <c r="E234" s="57">
        <v>101073</v>
      </c>
    </row>
    <row r="235" spans="1:10" x14ac:dyDescent="0.25">
      <c r="A235" s="56">
        <v>37926</v>
      </c>
      <c r="B235" s="58">
        <v>22515</v>
      </c>
      <c r="C235" s="56" t="s">
        <v>42</v>
      </c>
      <c r="D235" s="56" t="s">
        <v>51</v>
      </c>
      <c r="E235" s="57">
        <v>101021</v>
      </c>
      <c r="G235" s="59"/>
      <c r="H235" s="59"/>
      <c r="I235" s="60"/>
      <c r="J235" s="58"/>
    </row>
    <row r="236" spans="1:10" x14ac:dyDescent="0.25">
      <c r="A236" s="56"/>
      <c r="B236" s="58">
        <f>SUM(B234:B235)</f>
        <v>26412.3</v>
      </c>
      <c r="C236" s="56"/>
      <c r="D236" s="56"/>
      <c r="E236" s="57"/>
      <c r="G236" s="59"/>
      <c r="H236" s="59"/>
      <c r="I236" s="60"/>
      <c r="J236" s="58"/>
    </row>
    <row r="237" spans="1:10" x14ac:dyDescent="0.25">
      <c r="A237" s="56">
        <v>37956</v>
      </c>
      <c r="B237" s="58">
        <v>4027.21</v>
      </c>
      <c r="C237" s="56" t="s">
        <v>42</v>
      </c>
      <c r="D237" s="56" t="s">
        <v>51</v>
      </c>
      <c r="E237" s="57">
        <v>101073</v>
      </c>
    </row>
    <row r="238" spans="1:10" x14ac:dyDescent="0.25">
      <c r="A238" s="56">
        <v>37956</v>
      </c>
      <c r="B238" s="58">
        <v>23265.5</v>
      </c>
      <c r="C238" s="56" t="s">
        <v>42</v>
      </c>
      <c r="D238" s="56" t="s">
        <v>51</v>
      </c>
      <c r="E238" s="57">
        <v>101021</v>
      </c>
      <c r="G238" s="59"/>
      <c r="H238" s="59"/>
      <c r="I238" s="60"/>
      <c r="J238" s="58"/>
    </row>
    <row r="239" spans="1:10" x14ac:dyDescent="0.25">
      <c r="A239" s="56"/>
      <c r="B239" s="58">
        <f>SUM(B237:B238)</f>
        <v>27292.71</v>
      </c>
      <c r="C239" s="56"/>
      <c r="D239" s="56"/>
      <c r="E239" s="57"/>
      <c r="G239" s="59"/>
      <c r="H239" s="59"/>
      <c r="I239" s="60"/>
      <c r="J239" s="58"/>
    </row>
    <row r="240" spans="1:10" x14ac:dyDescent="0.25">
      <c r="A240" s="56">
        <v>37987</v>
      </c>
      <c r="B240" s="58">
        <v>3661.1</v>
      </c>
      <c r="C240" s="56" t="s">
        <v>42</v>
      </c>
      <c r="D240" s="56" t="s">
        <v>51</v>
      </c>
      <c r="E240" s="57">
        <v>101073</v>
      </c>
    </row>
    <row r="241" spans="1:10" x14ac:dyDescent="0.25">
      <c r="A241" s="56">
        <v>37987</v>
      </c>
      <c r="B241" s="58">
        <v>23265.5</v>
      </c>
      <c r="C241" s="56" t="s">
        <v>42</v>
      </c>
      <c r="D241" s="56" t="s">
        <v>51</v>
      </c>
      <c r="E241" s="57">
        <v>101021</v>
      </c>
      <c r="G241" s="59"/>
      <c r="H241" s="59"/>
      <c r="I241" s="60"/>
      <c r="J241" s="58"/>
    </row>
    <row r="242" spans="1:10" x14ac:dyDescent="0.25">
      <c r="A242" s="56"/>
      <c r="B242" s="58">
        <f>SUM(B240:B241)</f>
        <v>26926.6</v>
      </c>
      <c r="C242" s="56"/>
      <c r="D242" s="56"/>
      <c r="E242" s="57"/>
      <c r="G242" s="59"/>
      <c r="H242" s="59"/>
      <c r="I242" s="60"/>
      <c r="J242" s="58"/>
    </row>
    <row r="243" spans="1:10" x14ac:dyDescent="0.25">
      <c r="A243" s="56">
        <v>38018</v>
      </c>
      <c r="B243" s="58">
        <v>3306.8</v>
      </c>
      <c r="C243" s="56" t="s">
        <v>42</v>
      </c>
      <c r="D243" s="56" t="s">
        <v>51</v>
      </c>
      <c r="E243" s="57">
        <v>101073</v>
      </c>
    </row>
    <row r="244" spans="1:10" x14ac:dyDescent="0.25">
      <c r="A244" s="56">
        <v>38018</v>
      </c>
      <c r="B244" s="58">
        <v>21014</v>
      </c>
      <c r="C244" s="56" t="s">
        <v>42</v>
      </c>
      <c r="D244" s="56" t="s">
        <v>51</v>
      </c>
      <c r="E244" s="57">
        <v>101021</v>
      </c>
      <c r="G244" s="59"/>
      <c r="H244" s="59"/>
      <c r="I244" s="60"/>
      <c r="J244" s="58"/>
    </row>
    <row r="245" spans="1:10" x14ac:dyDescent="0.25">
      <c r="A245" s="56"/>
      <c r="B245" s="58">
        <f>SUM(B243:B244)</f>
        <v>24320.799999999999</v>
      </c>
      <c r="C245" s="56"/>
      <c r="D245" s="56"/>
      <c r="E245" s="57"/>
      <c r="G245" s="59"/>
      <c r="H245" s="59"/>
      <c r="I245" s="60"/>
      <c r="J245" s="58"/>
    </row>
    <row r="246" spans="1:10" x14ac:dyDescent="0.25">
      <c r="A246" s="56">
        <v>38047</v>
      </c>
      <c r="B246" s="58">
        <v>3661.1</v>
      </c>
      <c r="C246" s="56" t="s">
        <v>42</v>
      </c>
      <c r="D246" s="56" t="s">
        <v>51</v>
      </c>
      <c r="E246" s="57">
        <v>101073</v>
      </c>
    </row>
    <row r="247" spans="1:10" x14ac:dyDescent="0.25">
      <c r="A247" s="56">
        <v>38047</v>
      </c>
      <c r="B247" s="58">
        <v>23265.5</v>
      </c>
      <c r="C247" s="56" t="s">
        <v>42</v>
      </c>
      <c r="D247" s="56" t="s">
        <v>51</v>
      </c>
      <c r="E247" s="57">
        <v>101021</v>
      </c>
      <c r="G247" s="59"/>
      <c r="H247" s="59"/>
      <c r="I247" s="60"/>
      <c r="J247" s="58"/>
    </row>
    <row r="248" spans="1:10" x14ac:dyDescent="0.25">
      <c r="A248" s="56"/>
      <c r="B248" s="58"/>
      <c r="C248" s="56"/>
      <c r="D248" s="56"/>
      <c r="E248" s="57"/>
      <c r="G248" s="59"/>
      <c r="H248" s="59"/>
      <c r="I248" s="60"/>
      <c r="J248" s="58"/>
    </row>
    <row r="249" spans="1:10" x14ac:dyDescent="0.25">
      <c r="A249" s="56">
        <v>38078</v>
      </c>
      <c r="B249" s="58">
        <v>3543</v>
      </c>
      <c r="C249" s="56" t="s">
        <v>42</v>
      </c>
      <c r="D249" s="56" t="s">
        <v>51</v>
      </c>
      <c r="E249" s="57">
        <v>101073</v>
      </c>
    </row>
    <row r="250" spans="1:10" x14ac:dyDescent="0.25">
      <c r="A250" s="56">
        <v>38078</v>
      </c>
      <c r="B250" s="58">
        <v>22515</v>
      </c>
      <c r="C250" s="56" t="s">
        <v>42</v>
      </c>
      <c r="D250" s="56" t="s">
        <v>51</v>
      </c>
      <c r="E250" s="57">
        <v>101021</v>
      </c>
      <c r="G250" s="59"/>
      <c r="H250" s="59"/>
      <c r="I250" s="60"/>
      <c r="J250" s="58"/>
    </row>
    <row r="251" spans="1:10" x14ac:dyDescent="0.25">
      <c r="A251" s="56"/>
      <c r="B251" s="58">
        <f>SUM(B249:B250)</f>
        <v>26058</v>
      </c>
      <c r="C251" s="56"/>
      <c r="D251" s="56"/>
      <c r="E251" s="57"/>
      <c r="G251" s="59"/>
      <c r="H251" s="59"/>
      <c r="I251" s="60"/>
      <c r="J251" s="58"/>
    </row>
    <row r="252" spans="1:10" x14ac:dyDescent="0.25">
      <c r="A252" s="56">
        <v>38108</v>
      </c>
      <c r="B252" s="58">
        <v>3661.1</v>
      </c>
      <c r="C252" s="56" t="s">
        <v>42</v>
      </c>
      <c r="D252" s="56" t="s">
        <v>51</v>
      </c>
      <c r="E252" s="57">
        <v>101073</v>
      </c>
    </row>
    <row r="253" spans="1:10" x14ac:dyDescent="0.25">
      <c r="A253" s="56">
        <v>38108</v>
      </c>
      <c r="B253" s="58">
        <v>23265.5</v>
      </c>
      <c r="C253" s="56" t="s">
        <v>42</v>
      </c>
      <c r="D253" s="56" t="s">
        <v>51</v>
      </c>
      <c r="E253" s="57">
        <v>101021</v>
      </c>
      <c r="G253" s="59"/>
      <c r="H253" s="59"/>
      <c r="I253" s="60"/>
      <c r="J253" s="58"/>
    </row>
    <row r="254" spans="1:10" x14ac:dyDescent="0.25">
      <c r="A254" s="56">
        <v>38139</v>
      </c>
      <c r="B254" s="58">
        <v>3543</v>
      </c>
      <c r="C254" s="56" t="s">
        <v>42</v>
      </c>
      <c r="D254" s="56" t="s">
        <v>51</v>
      </c>
      <c r="E254" s="57">
        <v>101073</v>
      </c>
    </row>
    <row r="255" spans="1:10" x14ac:dyDescent="0.25">
      <c r="A255" s="56">
        <v>38139</v>
      </c>
      <c r="B255" s="58">
        <v>22515</v>
      </c>
      <c r="C255" s="56" t="s">
        <v>42</v>
      </c>
      <c r="D255" s="56" t="s">
        <v>51</v>
      </c>
      <c r="E255" s="57">
        <v>101021</v>
      </c>
      <c r="G255" s="59"/>
      <c r="H255" s="59"/>
      <c r="I255" s="60"/>
      <c r="J255" s="58"/>
    </row>
    <row r="256" spans="1:10" x14ac:dyDescent="0.25">
      <c r="A256" s="56">
        <v>38169</v>
      </c>
      <c r="B256" s="58">
        <v>3661.1</v>
      </c>
      <c r="C256" s="56" t="s">
        <v>42</v>
      </c>
      <c r="D256" s="56" t="s">
        <v>51</v>
      </c>
      <c r="E256" s="57">
        <v>101073</v>
      </c>
    </row>
    <row r="257" spans="1:10" x14ac:dyDescent="0.25">
      <c r="A257" s="56">
        <v>38169</v>
      </c>
      <c r="B257" s="58">
        <v>23265.5</v>
      </c>
      <c r="C257" s="56" t="s">
        <v>42</v>
      </c>
      <c r="D257" s="56" t="s">
        <v>51</v>
      </c>
      <c r="E257" s="57">
        <v>101021</v>
      </c>
      <c r="G257" s="59"/>
      <c r="H257" s="59"/>
      <c r="I257" s="60"/>
      <c r="J257" s="58"/>
    </row>
    <row r="258" spans="1:10" x14ac:dyDescent="0.25">
      <c r="A258" s="56">
        <v>38200</v>
      </c>
      <c r="B258" s="58">
        <v>3661.1</v>
      </c>
      <c r="C258" s="56" t="s">
        <v>42</v>
      </c>
      <c r="D258" s="56" t="s">
        <v>51</v>
      </c>
      <c r="E258" s="57">
        <v>101073</v>
      </c>
    </row>
    <row r="259" spans="1:10" x14ac:dyDescent="0.25">
      <c r="A259" s="56">
        <v>38200</v>
      </c>
      <c r="B259" s="58">
        <v>23265.5</v>
      </c>
      <c r="C259" s="56" t="s">
        <v>42</v>
      </c>
      <c r="D259" s="56" t="s">
        <v>51</v>
      </c>
      <c r="E259" s="57">
        <v>101021</v>
      </c>
      <c r="G259" s="59"/>
      <c r="H259" s="59"/>
      <c r="I259" s="60"/>
      <c r="J259" s="58"/>
    </row>
    <row r="260" spans="1:10" x14ac:dyDescent="0.25">
      <c r="A260" s="56">
        <v>38231</v>
      </c>
      <c r="B260" s="58">
        <v>3543</v>
      </c>
      <c r="C260" s="56" t="s">
        <v>42</v>
      </c>
      <c r="D260" s="56" t="s">
        <v>51</v>
      </c>
      <c r="E260" s="57">
        <v>101073</v>
      </c>
    </row>
    <row r="261" spans="1:10" x14ac:dyDescent="0.25">
      <c r="A261" s="56">
        <v>38231</v>
      </c>
      <c r="B261" s="58">
        <v>22515</v>
      </c>
      <c r="C261" s="56" t="s">
        <v>42</v>
      </c>
      <c r="D261" s="56" t="s">
        <v>51</v>
      </c>
      <c r="E261" s="57">
        <v>101021</v>
      </c>
      <c r="G261" s="59"/>
      <c r="H261" s="59"/>
      <c r="I261" s="60"/>
      <c r="J261" s="58"/>
    </row>
    <row r="262" spans="1:10" x14ac:dyDescent="0.25">
      <c r="A262" s="56">
        <v>38261</v>
      </c>
      <c r="B262" s="58">
        <v>3661.1</v>
      </c>
      <c r="C262" s="56" t="s">
        <v>42</v>
      </c>
      <c r="D262" s="56" t="s">
        <v>51</v>
      </c>
      <c r="E262" s="57">
        <v>101073</v>
      </c>
    </row>
    <row r="263" spans="1:10" x14ac:dyDescent="0.25">
      <c r="A263" s="56">
        <v>38261</v>
      </c>
      <c r="B263" s="58">
        <v>23265.5</v>
      </c>
      <c r="C263" s="56" t="s">
        <v>42</v>
      </c>
      <c r="D263" s="56" t="s">
        <v>51</v>
      </c>
      <c r="E263" s="57">
        <v>101021</v>
      </c>
      <c r="G263" s="59"/>
      <c r="H263" s="59"/>
      <c r="I263" s="60"/>
      <c r="J263" s="58"/>
    </row>
    <row r="264" spans="1:10" x14ac:dyDescent="0.25">
      <c r="A264" s="56">
        <v>38292</v>
      </c>
      <c r="B264" s="58">
        <v>3543</v>
      </c>
      <c r="C264" s="56" t="s">
        <v>42</v>
      </c>
      <c r="D264" s="56" t="s">
        <v>51</v>
      </c>
      <c r="E264" s="57">
        <v>101073</v>
      </c>
    </row>
    <row r="265" spans="1:10" x14ac:dyDescent="0.25">
      <c r="A265" s="56">
        <v>38292</v>
      </c>
      <c r="B265" s="58">
        <v>22515</v>
      </c>
      <c r="C265" s="56" t="s">
        <v>42</v>
      </c>
      <c r="D265" s="56" t="s">
        <v>51</v>
      </c>
      <c r="E265" s="57">
        <v>101021</v>
      </c>
      <c r="G265" s="59"/>
      <c r="H265" s="59"/>
      <c r="I265" s="60"/>
      <c r="J265" s="58"/>
    </row>
    <row r="266" spans="1:10" x14ac:dyDescent="0.25">
      <c r="A266" s="56">
        <v>38322</v>
      </c>
      <c r="B266" s="58">
        <v>3661.1</v>
      </c>
      <c r="C266" s="56" t="s">
        <v>42</v>
      </c>
      <c r="D266" s="56" t="s">
        <v>51</v>
      </c>
      <c r="E266" s="57">
        <v>101073</v>
      </c>
    </row>
    <row r="267" spans="1:10" x14ac:dyDescent="0.25">
      <c r="A267" s="56">
        <v>38322</v>
      </c>
      <c r="B267" s="58">
        <v>23265.5</v>
      </c>
      <c r="C267" s="56" t="s">
        <v>42</v>
      </c>
      <c r="D267" s="56" t="s">
        <v>51</v>
      </c>
      <c r="E267" s="57">
        <v>101021</v>
      </c>
      <c r="G267" s="59"/>
      <c r="H267" s="59"/>
      <c r="I267" s="60"/>
      <c r="J267" s="58"/>
    </row>
    <row r="268" spans="1:10" x14ac:dyDescent="0.25">
      <c r="A268" s="56"/>
      <c r="B268" s="58"/>
      <c r="C268" s="56"/>
      <c r="D268" s="56"/>
      <c r="E268" s="57"/>
      <c r="G268" s="59"/>
      <c r="H268" s="59"/>
      <c r="I268" s="60"/>
      <c r="J268" s="58"/>
    </row>
    <row r="269" spans="1:10" x14ac:dyDescent="0.25">
      <c r="A269" s="56">
        <v>38353</v>
      </c>
      <c r="B269" s="58">
        <v>3661.1</v>
      </c>
      <c r="C269" s="56" t="s">
        <v>42</v>
      </c>
      <c r="D269" s="56" t="s">
        <v>51</v>
      </c>
      <c r="E269" s="57">
        <v>101073</v>
      </c>
    </row>
    <row r="270" spans="1:10" x14ac:dyDescent="0.25">
      <c r="A270" s="56">
        <v>38353</v>
      </c>
      <c r="B270" s="58">
        <v>23265.5</v>
      </c>
      <c r="C270" s="56" t="s">
        <v>42</v>
      </c>
      <c r="D270" s="56" t="s">
        <v>51</v>
      </c>
      <c r="E270" s="57">
        <v>101021</v>
      </c>
      <c r="G270" s="59"/>
      <c r="H270" s="59"/>
      <c r="I270" s="60"/>
      <c r="J270" s="58"/>
    </row>
    <row r="271" spans="1:10" x14ac:dyDescent="0.25">
      <c r="A271" s="56"/>
      <c r="B271" s="58">
        <f>SUM(B269:B270)</f>
        <v>26926.6</v>
      </c>
      <c r="C271" s="56"/>
      <c r="D271" s="56"/>
      <c r="E271" s="57"/>
      <c r="G271" s="59"/>
      <c r="H271" s="59"/>
      <c r="I271" s="60"/>
      <c r="J271" s="58"/>
    </row>
    <row r="272" spans="1:10" x14ac:dyDescent="0.25">
      <c r="A272" s="56">
        <v>38384</v>
      </c>
      <c r="B272" s="58">
        <v>3306.8</v>
      </c>
      <c r="C272" s="56" t="s">
        <v>42</v>
      </c>
      <c r="D272" s="56" t="s">
        <v>51</v>
      </c>
      <c r="E272" s="57">
        <v>101073</v>
      </c>
    </row>
    <row r="273" spans="1:10" x14ac:dyDescent="0.25">
      <c r="A273" s="56">
        <v>38384</v>
      </c>
      <c r="B273" s="58">
        <v>21014</v>
      </c>
      <c r="C273" s="56" t="s">
        <v>42</v>
      </c>
      <c r="D273" s="56" t="s">
        <v>51</v>
      </c>
      <c r="E273" s="57">
        <v>101021</v>
      </c>
      <c r="G273" s="59"/>
      <c r="H273" s="59"/>
      <c r="I273" s="60"/>
      <c r="J273" s="58"/>
    </row>
    <row r="274" spans="1:10" x14ac:dyDescent="0.25">
      <c r="A274" s="56"/>
      <c r="B274" s="58">
        <f>SUM(B272:B273)</f>
        <v>24320.799999999999</v>
      </c>
      <c r="C274" s="56"/>
      <c r="D274" s="56"/>
      <c r="E274" s="57"/>
      <c r="G274" s="59"/>
      <c r="H274" s="59"/>
      <c r="I274" s="60"/>
      <c r="J274" s="58"/>
    </row>
    <row r="275" spans="1:10" x14ac:dyDescent="0.25">
      <c r="A275" s="56">
        <v>38412</v>
      </c>
      <c r="B275" s="58">
        <v>3661.1</v>
      </c>
      <c r="C275" s="56" t="s">
        <v>42</v>
      </c>
      <c r="D275" s="56" t="s">
        <v>51</v>
      </c>
      <c r="E275" s="57">
        <v>101073</v>
      </c>
    </row>
    <row r="276" spans="1:10" x14ac:dyDescent="0.25">
      <c r="A276" s="56">
        <v>38412</v>
      </c>
      <c r="B276" s="58">
        <v>23265.5</v>
      </c>
      <c r="C276" s="56" t="s">
        <v>42</v>
      </c>
      <c r="D276" s="56" t="s">
        <v>51</v>
      </c>
      <c r="E276" s="57">
        <v>101021</v>
      </c>
      <c r="G276" s="59"/>
      <c r="H276" s="59"/>
      <c r="I276" s="60"/>
      <c r="J276" s="58"/>
    </row>
    <row r="277" spans="1:10" x14ac:dyDescent="0.25">
      <c r="A277" s="56">
        <v>38443</v>
      </c>
      <c r="B277" s="58">
        <v>3543</v>
      </c>
      <c r="C277" s="56" t="s">
        <v>42</v>
      </c>
      <c r="D277" s="56" t="s">
        <v>51</v>
      </c>
      <c r="E277" s="57">
        <v>101073</v>
      </c>
    </row>
    <row r="278" spans="1:10" x14ac:dyDescent="0.25">
      <c r="A278" s="56">
        <v>38443</v>
      </c>
      <c r="B278" s="58">
        <v>22515</v>
      </c>
      <c r="C278" s="56" t="s">
        <v>42</v>
      </c>
      <c r="D278" s="56" t="s">
        <v>51</v>
      </c>
      <c r="E278" s="57">
        <v>101021</v>
      </c>
      <c r="G278" s="59"/>
      <c r="H278" s="59"/>
      <c r="I278" s="60"/>
      <c r="J278" s="58"/>
    </row>
    <row r="279" spans="1:10" x14ac:dyDescent="0.25">
      <c r="A279" s="56">
        <v>38473</v>
      </c>
      <c r="B279" s="58">
        <v>3661.1</v>
      </c>
      <c r="C279" s="56" t="s">
        <v>42</v>
      </c>
      <c r="D279" s="56" t="s">
        <v>51</v>
      </c>
      <c r="E279" s="57">
        <v>101073</v>
      </c>
    </row>
    <row r="280" spans="1:10" x14ac:dyDescent="0.25">
      <c r="A280" s="56">
        <v>38473</v>
      </c>
      <c r="B280" s="58">
        <v>23265.5</v>
      </c>
      <c r="C280" s="56" t="s">
        <v>42</v>
      </c>
      <c r="D280" s="56" t="s">
        <v>51</v>
      </c>
      <c r="E280" s="57">
        <v>101021</v>
      </c>
      <c r="G280" s="59"/>
      <c r="H280" s="59"/>
      <c r="I280" s="60"/>
      <c r="J280" s="58"/>
    </row>
    <row r="281" spans="1:10" x14ac:dyDescent="0.25">
      <c r="A281" s="56">
        <v>38504</v>
      </c>
      <c r="B281" s="58">
        <v>3543</v>
      </c>
      <c r="C281" s="56" t="s">
        <v>42</v>
      </c>
      <c r="D281" s="56" t="s">
        <v>51</v>
      </c>
      <c r="E281" s="57">
        <v>101073</v>
      </c>
    </row>
    <row r="282" spans="1:10" x14ac:dyDescent="0.25">
      <c r="A282" s="56">
        <v>38504</v>
      </c>
      <c r="B282" s="58">
        <v>22515</v>
      </c>
      <c r="C282" s="56" t="s">
        <v>42</v>
      </c>
      <c r="D282" s="56" t="s">
        <v>51</v>
      </c>
      <c r="E282" s="57">
        <v>101021</v>
      </c>
      <c r="G282" s="59"/>
      <c r="H282" s="59"/>
      <c r="I282" s="60"/>
      <c r="J282" s="58"/>
    </row>
    <row r="283" spans="1:10" x14ac:dyDescent="0.25">
      <c r="A283" s="56">
        <v>38534</v>
      </c>
      <c r="B283" s="58">
        <v>3661.1</v>
      </c>
      <c r="C283" s="56" t="s">
        <v>42</v>
      </c>
      <c r="D283" s="56" t="s">
        <v>51</v>
      </c>
      <c r="E283" s="57">
        <v>101073</v>
      </c>
    </row>
    <row r="284" spans="1:10" x14ac:dyDescent="0.25">
      <c r="A284" s="56">
        <v>38534</v>
      </c>
      <c r="B284" s="58">
        <v>23265.5</v>
      </c>
      <c r="C284" s="56" t="s">
        <v>42</v>
      </c>
      <c r="D284" s="56" t="s">
        <v>51</v>
      </c>
      <c r="E284" s="57">
        <v>101021</v>
      </c>
      <c r="G284" s="59"/>
      <c r="H284" s="59"/>
      <c r="I284" s="60"/>
      <c r="J284" s="58"/>
    </row>
    <row r="285" spans="1:10" x14ac:dyDescent="0.25">
      <c r="A285" s="56">
        <v>38565</v>
      </c>
      <c r="B285" s="58">
        <v>3661.1</v>
      </c>
      <c r="C285" s="56" t="s">
        <v>42</v>
      </c>
      <c r="D285" s="56" t="s">
        <v>51</v>
      </c>
      <c r="E285" s="57">
        <v>101073</v>
      </c>
    </row>
    <row r="286" spans="1:10" x14ac:dyDescent="0.25">
      <c r="A286" s="56">
        <v>38565</v>
      </c>
      <c r="B286" s="58">
        <v>23265.5</v>
      </c>
      <c r="C286" s="56" t="s">
        <v>42</v>
      </c>
      <c r="D286" s="56" t="s">
        <v>51</v>
      </c>
      <c r="E286" s="57">
        <v>101021</v>
      </c>
      <c r="G286" s="59"/>
      <c r="H286" s="59"/>
      <c r="I286" s="60"/>
      <c r="J286" s="58"/>
    </row>
    <row r="287" spans="1:10" x14ac:dyDescent="0.25">
      <c r="A287" s="56">
        <v>38596</v>
      </c>
      <c r="B287" s="58">
        <v>3543</v>
      </c>
      <c r="C287" s="56" t="s">
        <v>42</v>
      </c>
      <c r="D287" s="56" t="s">
        <v>51</v>
      </c>
      <c r="E287" s="57">
        <v>101073</v>
      </c>
    </row>
    <row r="288" spans="1:10" x14ac:dyDescent="0.25">
      <c r="A288" s="56">
        <v>38596</v>
      </c>
      <c r="B288" s="58">
        <v>22515</v>
      </c>
      <c r="C288" s="56" t="s">
        <v>42</v>
      </c>
      <c r="D288" s="56" t="s">
        <v>51</v>
      </c>
      <c r="E288" s="57">
        <v>101021</v>
      </c>
      <c r="G288" s="59"/>
      <c r="H288" s="59"/>
      <c r="I288" s="60"/>
      <c r="J288" s="58"/>
    </row>
    <row r="289" spans="1:10" x14ac:dyDescent="0.25">
      <c r="A289" s="56">
        <v>38626</v>
      </c>
      <c r="B289" s="58">
        <v>3661.1</v>
      </c>
      <c r="C289" s="56" t="s">
        <v>42</v>
      </c>
      <c r="D289" s="56" t="s">
        <v>51</v>
      </c>
      <c r="E289" s="57">
        <v>101073</v>
      </c>
    </row>
    <row r="290" spans="1:10" x14ac:dyDescent="0.25">
      <c r="A290" s="56">
        <v>38626</v>
      </c>
      <c r="B290" s="58">
        <v>23265.5</v>
      </c>
      <c r="C290" s="56" t="s">
        <v>42</v>
      </c>
      <c r="D290" s="56" t="s">
        <v>51</v>
      </c>
      <c r="E290" s="57">
        <v>101021</v>
      </c>
      <c r="G290" s="59"/>
      <c r="H290" s="59"/>
      <c r="I290" s="60"/>
      <c r="J290" s="58"/>
    </row>
    <row r="291" spans="1:10" x14ac:dyDescent="0.25">
      <c r="A291" s="56">
        <v>38657</v>
      </c>
      <c r="B291" s="58">
        <v>3543</v>
      </c>
      <c r="C291" s="56" t="s">
        <v>42</v>
      </c>
      <c r="D291" s="56" t="s">
        <v>51</v>
      </c>
      <c r="E291" s="57">
        <v>101073</v>
      </c>
    </row>
    <row r="292" spans="1:10" x14ac:dyDescent="0.25">
      <c r="A292" s="56">
        <v>38657</v>
      </c>
      <c r="B292" s="58">
        <v>22515</v>
      </c>
      <c r="C292" s="56" t="s">
        <v>42</v>
      </c>
      <c r="D292" s="56" t="s">
        <v>51</v>
      </c>
      <c r="E292" s="57">
        <v>101021</v>
      </c>
      <c r="G292" s="59"/>
      <c r="H292" s="59"/>
      <c r="I292" s="60"/>
      <c r="J292" s="58"/>
    </row>
    <row r="293" spans="1:10" x14ac:dyDescent="0.25">
      <c r="A293" s="56">
        <v>38687</v>
      </c>
      <c r="B293" s="58">
        <v>3661.1</v>
      </c>
      <c r="C293" s="56" t="s">
        <v>42</v>
      </c>
      <c r="D293" s="56" t="s">
        <v>51</v>
      </c>
      <c r="E293" s="57">
        <v>101073</v>
      </c>
    </row>
    <row r="294" spans="1:10" x14ac:dyDescent="0.25">
      <c r="A294" s="56">
        <v>38687</v>
      </c>
      <c r="B294" s="58">
        <v>23265.5</v>
      </c>
      <c r="C294" s="56" t="s">
        <v>42</v>
      </c>
      <c r="D294" s="56" t="s">
        <v>51</v>
      </c>
      <c r="E294" s="57">
        <v>101021</v>
      </c>
      <c r="G294" s="59"/>
      <c r="H294" s="59"/>
      <c r="I294" s="60"/>
      <c r="J294" s="58"/>
    </row>
    <row r="295" spans="1:10" x14ac:dyDescent="0.25">
      <c r="A295" s="56"/>
    </row>
    <row r="296" spans="1:10" x14ac:dyDescent="0.25">
      <c r="A296" s="56"/>
    </row>
    <row r="297" spans="1:10" x14ac:dyDescent="0.25">
      <c r="A297" s="56"/>
    </row>
    <row r="298" spans="1:10" x14ac:dyDescent="0.25">
      <c r="A298" s="56"/>
    </row>
    <row r="299" spans="1:10" x14ac:dyDescent="0.25">
      <c r="A299" s="56"/>
    </row>
    <row r="300" spans="1:10" x14ac:dyDescent="0.25">
      <c r="A300" s="56"/>
    </row>
    <row r="301" spans="1:10" x14ac:dyDescent="0.25">
      <c r="A301" s="56"/>
    </row>
    <row r="302" spans="1:10" x14ac:dyDescent="0.25">
      <c r="A302" s="56"/>
    </row>
    <row r="303" spans="1:10" x14ac:dyDescent="0.25">
      <c r="A303" s="56"/>
    </row>
    <row r="304" spans="1:10" x14ac:dyDescent="0.25">
      <c r="A304" s="56"/>
    </row>
    <row r="305" spans="1:1" x14ac:dyDescent="0.25">
      <c r="A305" s="56"/>
    </row>
    <row r="306" spans="1:1" x14ac:dyDescent="0.25">
      <c r="A306" s="56"/>
    </row>
    <row r="307" spans="1:1" x14ac:dyDescent="0.25">
      <c r="A307" s="56"/>
    </row>
    <row r="308" spans="1:1" x14ac:dyDescent="0.25">
      <c r="A308" s="56"/>
    </row>
    <row r="309" spans="1:1" x14ac:dyDescent="0.25">
      <c r="A309" s="56"/>
    </row>
    <row r="310" spans="1:1" x14ac:dyDescent="0.25">
      <c r="A310" s="56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workbookViewId="0"/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6" x14ac:dyDescent="0.3">
      <c r="A3" s="1" t="s">
        <v>62</v>
      </c>
      <c r="B3" s="1"/>
      <c r="C3" s="1"/>
      <c r="D3" s="1"/>
      <c r="E3" s="1"/>
      <c r="F3" s="1"/>
      <c r="G3" s="1"/>
      <c r="H3" s="1"/>
      <c r="I3" s="1"/>
      <c r="J3" s="45"/>
      <c r="K3" s="45"/>
    </row>
    <row r="4" spans="1:11" s="4" customFormat="1" ht="15.6" x14ac:dyDescent="0.3">
      <c r="A4" s="1" t="s">
        <v>63</v>
      </c>
      <c r="B4" s="1"/>
      <c r="C4" s="1"/>
      <c r="D4" s="1"/>
      <c r="E4" s="1"/>
      <c r="F4" s="1"/>
      <c r="G4" s="1"/>
      <c r="H4" s="1"/>
      <c r="I4" s="1"/>
      <c r="J4" s="45"/>
      <c r="K4" s="45"/>
    </row>
    <row r="5" spans="1:11" s="4" customFormat="1" ht="15.6" x14ac:dyDescent="0.3">
      <c r="A5" s="3"/>
      <c r="B5" s="3"/>
      <c r="C5" s="3"/>
      <c r="D5" s="3"/>
      <c r="E5" s="3"/>
      <c r="F5" s="3"/>
      <c r="G5" s="3"/>
      <c r="H5" s="3"/>
      <c r="I5" s="3"/>
      <c r="J5" s="43"/>
      <c r="K5" s="43"/>
    </row>
    <row r="7" spans="1:11" s="7" customFormat="1" x14ac:dyDescent="0.25">
      <c r="A7" s="5" t="s">
        <v>64</v>
      </c>
      <c r="B7" s="6" t="s">
        <v>5</v>
      </c>
      <c r="C7" s="6" t="s">
        <v>5</v>
      </c>
      <c r="D7" s="6" t="s">
        <v>65</v>
      </c>
      <c r="E7" s="6"/>
      <c r="F7" s="6" t="s">
        <v>12</v>
      </c>
      <c r="G7" s="6" t="s">
        <v>66</v>
      </c>
      <c r="H7" s="6" t="s">
        <v>26</v>
      </c>
      <c r="I7" s="65" t="s">
        <v>67</v>
      </c>
      <c r="J7" s="66"/>
      <c r="K7" s="67"/>
    </row>
    <row r="8" spans="1:11" s="7" customFormat="1" x14ac:dyDescent="0.25">
      <c r="A8" s="8" t="s">
        <v>68</v>
      </c>
      <c r="B8" s="9" t="s">
        <v>15</v>
      </c>
      <c r="C8" s="9" t="s">
        <v>14</v>
      </c>
      <c r="D8" s="9" t="s">
        <v>19</v>
      </c>
      <c r="E8" s="9"/>
      <c r="F8" s="9" t="s">
        <v>69</v>
      </c>
      <c r="G8" s="9" t="s">
        <v>19</v>
      </c>
      <c r="H8" s="9" t="s">
        <v>19</v>
      </c>
      <c r="I8" s="9" t="s">
        <v>28</v>
      </c>
      <c r="J8" s="9" t="s">
        <v>29</v>
      </c>
      <c r="K8" s="10" t="s">
        <v>30</v>
      </c>
    </row>
    <row r="9" spans="1:11" x14ac:dyDescent="0.25">
      <c r="A9" s="11"/>
      <c r="B9" s="12"/>
      <c r="C9" s="12"/>
      <c r="D9" s="12"/>
      <c r="E9" s="12"/>
      <c r="F9" s="12"/>
      <c r="G9" s="47" t="s">
        <v>70</v>
      </c>
      <c r="H9" s="13"/>
      <c r="I9" s="68" t="s">
        <v>33</v>
      </c>
      <c r="J9" s="68" t="s">
        <v>33</v>
      </c>
      <c r="K9" s="69" t="s">
        <v>33</v>
      </c>
    </row>
    <row r="10" spans="1:11" x14ac:dyDescent="0.25">
      <c r="A10" s="14">
        <v>35947</v>
      </c>
      <c r="B10" s="15"/>
      <c r="C10" s="16" t="s">
        <v>35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5">
      <c r="A11" s="14">
        <v>35977</v>
      </c>
      <c r="B11" s="15"/>
      <c r="C11" s="16" t="s">
        <v>35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5">
      <c r="A12" s="14">
        <v>36008</v>
      </c>
      <c r="B12" s="15"/>
      <c r="C12" s="16" t="s">
        <v>35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5">
      <c r="A13" s="14">
        <v>36039</v>
      </c>
      <c r="B13" s="15"/>
      <c r="C13" s="16" t="s">
        <v>35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5">
      <c r="A14" s="14">
        <v>36069</v>
      </c>
      <c r="B14" s="15"/>
      <c r="C14" s="16" t="s">
        <v>35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5">
      <c r="A15" s="14">
        <v>36100</v>
      </c>
      <c r="B15" s="15"/>
      <c r="C15" s="16" t="s">
        <v>35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5">
      <c r="A16" s="14">
        <v>36130</v>
      </c>
      <c r="B16" s="15"/>
      <c r="C16" s="16" t="s">
        <v>35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5">
      <c r="A17" s="14">
        <v>36161</v>
      </c>
      <c r="B17" s="15"/>
      <c r="C17" s="16" t="s">
        <v>35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5">
      <c r="A18" s="14">
        <v>36192</v>
      </c>
      <c r="B18" s="15"/>
      <c r="C18" s="16" t="s">
        <v>35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5">
      <c r="A19" s="14">
        <v>36220</v>
      </c>
      <c r="B19" s="15"/>
      <c r="C19" s="16" t="s">
        <v>35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5">
      <c r="A20" s="14">
        <v>36251</v>
      </c>
      <c r="B20" s="15"/>
      <c r="C20" s="16" t="s">
        <v>35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5">
      <c r="A21" s="14">
        <v>36281</v>
      </c>
      <c r="B21" s="15"/>
      <c r="C21" s="16" t="s">
        <v>35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5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4">
        <f>+J22+K22-I22</f>
        <v>0</v>
      </c>
    </row>
    <row r="23" spans="1:12" x14ac:dyDescent="0.25">
      <c r="A23" s="20"/>
      <c r="B23" s="15"/>
      <c r="C23" s="15"/>
      <c r="D23" s="15"/>
      <c r="E23" s="15"/>
      <c r="F23" s="38"/>
      <c r="G23" s="15"/>
      <c r="H23" s="15"/>
      <c r="I23" s="48"/>
      <c r="J23" s="48"/>
      <c r="K23" s="48"/>
      <c r="L23" s="44"/>
    </row>
    <row r="24" spans="1:12" x14ac:dyDescent="0.25">
      <c r="A24" s="20"/>
      <c r="B24" s="15"/>
      <c r="C24" s="15"/>
      <c r="D24" s="15"/>
      <c r="E24" s="15"/>
      <c r="F24" s="15"/>
      <c r="G24" s="51" t="s">
        <v>71</v>
      </c>
      <c r="H24" s="15"/>
      <c r="I24" s="19"/>
      <c r="J24" s="19"/>
      <c r="K24" s="19"/>
    </row>
    <row r="25" spans="1:12" x14ac:dyDescent="0.25">
      <c r="A25" s="20"/>
      <c r="B25" s="15"/>
      <c r="C25" s="15"/>
      <c r="D25" s="15"/>
      <c r="E25" s="15"/>
      <c r="F25" s="15"/>
      <c r="G25" s="49"/>
      <c r="H25" s="15"/>
      <c r="I25" s="19"/>
      <c r="J25" s="19"/>
      <c r="K25" s="19"/>
    </row>
    <row r="26" spans="1:12" x14ac:dyDescent="0.25">
      <c r="A26" s="14">
        <v>35947</v>
      </c>
      <c r="B26" s="16">
        <f>26125</f>
        <v>26125</v>
      </c>
      <c r="C26" s="16" t="s">
        <v>37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5">
      <c r="A27" s="14">
        <v>35977</v>
      </c>
      <c r="B27" s="16">
        <f>26125</f>
        <v>26125</v>
      </c>
      <c r="C27" s="16" t="s">
        <v>37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5">
      <c r="A28" s="14">
        <v>36008</v>
      </c>
      <c r="B28" s="16">
        <f>26125</f>
        <v>26125</v>
      </c>
      <c r="C28" s="16" t="s">
        <v>37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5">
      <c r="A29" s="14">
        <v>36039</v>
      </c>
      <c r="B29" s="16">
        <f>26125</f>
        <v>26125</v>
      </c>
      <c r="C29" s="16" t="s">
        <v>37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5">
      <c r="A30" s="14">
        <v>36069</v>
      </c>
      <c r="B30" s="16">
        <f>26125</f>
        <v>26125</v>
      </c>
      <c r="C30" s="16" t="s">
        <v>37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5">
      <c r="A31" s="14">
        <v>36100</v>
      </c>
      <c r="B31" s="16">
        <f>26125</f>
        <v>26125</v>
      </c>
      <c r="C31" s="16" t="s">
        <v>37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7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5">
      <c r="A32" s="14">
        <v>36130</v>
      </c>
      <c r="B32" s="16">
        <f>26125</f>
        <v>26125</v>
      </c>
      <c r="C32" s="16" t="s">
        <v>37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7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5">
      <c r="A33" s="14">
        <v>36161</v>
      </c>
      <c r="B33" s="16">
        <f>26125</f>
        <v>26125</v>
      </c>
      <c r="C33" s="16" t="s">
        <v>37</v>
      </c>
      <c r="D33" s="17">
        <f t="shared" si="3"/>
        <v>2.2200000000000002</v>
      </c>
      <c r="E33" s="18">
        <f>-8600*31</f>
        <v>-266600</v>
      </c>
      <c r="F33" s="18">
        <v>-7750</v>
      </c>
      <c r="G33" s="70">
        <v>1.73</v>
      </c>
      <c r="H33" s="7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5">
      <c r="A34" s="14">
        <v>36192</v>
      </c>
      <c r="B34" s="16">
        <f>26125</f>
        <v>26125</v>
      </c>
      <c r="C34" s="16" t="s">
        <v>37</v>
      </c>
      <c r="D34" s="17">
        <f t="shared" si="3"/>
        <v>2.2200000000000002</v>
      </c>
      <c r="E34" s="18">
        <f>-8600*28</f>
        <v>-240800</v>
      </c>
      <c r="F34" s="18">
        <v>-7000</v>
      </c>
      <c r="G34" s="70">
        <v>1.63</v>
      </c>
      <c r="H34" s="7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5">
      <c r="A35" s="14">
        <v>36220</v>
      </c>
      <c r="B35" s="16">
        <f>26125</f>
        <v>26125</v>
      </c>
      <c r="C35" s="16" t="s">
        <v>37</v>
      </c>
      <c r="D35" s="17">
        <f t="shared" si="3"/>
        <v>2.2200000000000002</v>
      </c>
      <c r="E35" s="18">
        <f>-8600*31</f>
        <v>-266600</v>
      </c>
      <c r="F35" s="18">
        <v>-7750</v>
      </c>
      <c r="G35" s="70">
        <v>1.59</v>
      </c>
      <c r="H35" s="7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5">
      <c r="A36" s="14">
        <v>36251</v>
      </c>
      <c r="B36" s="16">
        <f>26125</f>
        <v>26125</v>
      </c>
      <c r="C36" s="16" t="s">
        <v>37</v>
      </c>
      <c r="D36" s="17">
        <f t="shared" si="3"/>
        <v>2.2200000000000002</v>
      </c>
      <c r="E36" s="18">
        <f>-8600*30</f>
        <v>-258000</v>
      </c>
      <c r="F36" s="18">
        <v>-7500</v>
      </c>
      <c r="G36" s="74">
        <v>1.94</v>
      </c>
      <c r="H36" s="7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5">
      <c r="A37" s="14">
        <v>36281</v>
      </c>
      <c r="B37" s="16">
        <f>26125</f>
        <v>26125</v>
      </c>
      <c r="C37" s="16" t="s">
        <v>37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7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5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4">
        <f>+J38+K38-I38</f>
        <v>0</v>
      </c>
    </row>
    <row r="39" spans="1:12" x14ac:dyDescent="0.25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8" thickBot="1" x14ac:dyDescent="0.3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4">
        <f>+J40+K40-I40</f>
        <v>0</v>
      </c>
    </row>
    <row r="41" spans="1:12" ht="13.8" thickTop="1" x14ac:dyDescent="0.25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5">
      <c r="I42" s="28"/>
    </row>
    <row r="43" spans="1:12" x14ac:dyDescent="0.25">
      <c r="A43" s="29" t="s">
        <v>58</v>
      </c>
      <c r="J43"/>
      <c r="K43"/>
    </row>
    <row r="44" spans="1:12" s="29" customFormat="1" ht="10.199999999999999" x14ac:dyDescent="0.2">
      <c r="I44" s="30"/>
      <c r="J44" s="30"/>
      <c r="K44" s="30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  <row r="133" spans="9:9" x14ac:dyDescent="0.25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workbookViewId="0"/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6" x14ac:dyDescent="0.3">
      <c r="A3" s="1" t="s">
        <v>72</v>
      </c>
      <c r="B3" s="1"/>
      <c r="C3" s="1"/>
      <c r="D3" s="1"/>
      <c r="E3" s="1"/>
      <c r="F3" s="1"/>
      <c r="G3" s="1"/>
      <c r="H3" s="1"/>
      <c r="I3" s="1"/>
      <c r="J3" s="45"/>
      <c r="K3" s="45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  <c r="J4" s="43"/>
      <c r="K4" s="43"/>
    </row>
    <row r="6" spans="1:11" s="7" customFormat="1" x14ac:dyDescent="0.25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5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5">
      <c r="A8" s="11"/>
      <c r="B8" s="12"/>
      <c r="C8" s="12"/>
      <c r="D8" s="12"/>
      <c r="E8" s="12"/>
      <c r="F8" s="12"/>
      <c r="G8" s="47" t="s">
        <v>70</v>
      </c>
      <c r="H8" s="13"/>
      <c r="I8" s="68" t="s">
        <v>33</v>
      </c>
      <c r="J8" s="68" t="s">
        <v>33</v>
      </c>
      <c r="K8" s="69" t="s">
        <v>33</v>
      </c>
    </row>
    <row r="9" spans="1:11" x14ac:dyDescent="0.25">
      <c r="A9" s="73" t="s">
        <v>73</v>
      </c>
      <c r="B9" s="15"/>
      <c r="C9" s="16"/>
      <c r="D9" s="72">
        <v>1.9450000000000001</v>
      </c>
      <c r="E9" s="17"/>
      <c r="F9" s="18">
        <f>250*30</f>
        <v>7500</v>
      </c>
      <c r="G9" s="72">
        <v>1.96</v>
      </c>
      <c r="H9" s="72"/>
      <c r="I9" s="19">
        <f t="shared" ref="I9:I14" si="0">SUM(D9-G9)*F9</f>
        <v>-112.49999999999926</v>
      </c>
      <c r="J9" s="19">
        <f t="shared" ref="J9:J14" si="1">+I9</f>
        <v>-112.49999999999926</v>
      </c>
      <c r="K9" s="19"/>
    </row>
    <row r="10" spans="1:11" x14ac:dyDescent="0.25">
      <c r="A10" s="73" t="s">
        <v>74</v>
      </c>
      <c r="B10" s="15"/>
      <c r="C10" s="16"/>
      <c r="D10" s="72">
        <v>1.9450000000000001</v>
      </c>
      <c r="E10" s="17"/>
      <c r="F10" s="18">
        <f>250*31</f>
        <v>7750</v>
      </c>
      <c r="G10" s="72">
        <v>2.0499999999999998</v>
      </c>
      <c r="H10" s="7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5">
      <c r="A11" s="73" t="s">
        <v>75</v>
      </c>
      <c r="B11" s="15"/>
      <c r="C11" s="16"/>
      <c r="D11" s="72">
        <v>1.9450000000000001</v>
      </c>
      <c r="E11" s="17"/>
      <c r="F11" s="18">
        <f>250*31</f>
        <v>7750</v>
      </c>
      <c r="G11" s="7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5">
      <c r="A12" s="73" t="s">
        <v>76</v>
      </c>
      <c r="B12" s="15"/>
      <c r="C12" s="16"/>
      <c r="D12" s="72">
        <v>1.9450000000000001</v>
      </c>
      <c r="E12" s="17"/>
      <c r="F12" s="18">
        <f>250*30</f>
        <v>7500</v>
      </c>
      <c r="G12" s="7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5">
      <c r="A13" s="73" t="s">
        <v>77</v>
      </c>
      <c r="B13" s="15"/>
      <c r="C13" s="16"/>
      <c r="D13" s="7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5">
      <c r="A14" s="73" t="s">
        <v>78</v>
      </c>
      <c r="B14" s="15"/>
      <c r="C14" s="16"/>
      <c r="D14" s="7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5">
      <c r="A15" s="73" t="s">
        <v>79</v>
      </c>
      <c r="B15" s="15"/>
      <c r="C15" s="16"/>
      <c r="D15" s="72">
        <v>1.9450000000000001</v>
      </c>
      <c r="E15" s="17"/>
      <c r="F15" s="18">
        <f>250*31</f>
        <v>7750</v>
      </c>
      <c r="G15" s="17"/>
      <c r="H15" s="32">
        <v>2.08</v>
      </c>
      <c r="I15" s="19">
        <f t="shared" ref="I15:I20" si="2">SUM(D15-H15)*F15</f>
        <v>-1046.25</v>
      </c>
      <c r="J15" s="19"/>
      <c r="K15" s="19">
        <f t="shared" ref="K15:K20" si="3">+I15</f>
        <v>-1046.25</v>
      </c>
    </row>
    <row r="16" spans="1:11" x14ac:dyDescent="0.25">
      <c r="A16" s="73" t="s">
        <v>80</v>
      </c>
      <c r="B16" s="15"/>
      <c r="C16" s="16"/>
      <c r="D16" s="72">
        <v>1.9450000000000001</v>
      </c>
      <c r="E16" s="17"/>
      <c r="F16" s="18">
        <f>250*31</f>
        <v>7750</v>
      </c>
      <c r="G16" s="17"/>
      <c r="H16" s="32">
        <f>+[1]Sheet1!$F9</f>
        <v>2.2050000000000001</v>
      </c>
      <c r="I16" s="19">
        <f t="shared" si="2"/>
        <v>-2015</v>
      </c>
      <c r="J16" s="19"/>
      <c r="K16" s="19">
        <f t="shared" si="3"/>
        <v>-2015</v>
      </c>
    </row>
    <row r="17" spans="1:12" x14ac:dyDescent="0.25">
      <c r="A17" s="73" t="s">
        <v>81</v>
      </c>
      <c r="B17" s="15"/>
      <c r="C17" s="16"/>
      <c r="D17" s="72">
        <v>1.9450000000000001</v>
      </c>
      <c r="E17" s="17"/>
      <c r="F17" s="18">
        <f>250*29</f>
        <v>7250</v>
      </c>
      <c r="G17" s="17"/>
      <c r="H17" s="32">
        <f>+[1]Sheet1!$F10</f>
        <v>2.202</v>
      </c>
      <c r="I17" s="19">
        <f t="shared" si="2"/>
        <v>-1863.2499999999993</v>
      </c>
      <c r="J17" s="19"/>
      <c r="K17" s="19">
        <f t="shared" si="3"/>
        <v>-1863.2499999999993</v>
      </c>
    </row>
    <row r="18" spans="1:12" x14ac:dyDescent="0.25">
      <c r="A18" s="73" t="s">
        <v>82</v>
      </c>
      <c r="B18" s="15"/>
      <c r="C18" s="16"/>
      <c r="D18" s="72">
        <v>1.9450000000000001</v>
      </c>
      <c r="E18" s="17"/>
      <c r="F18" s="18">
        <f>250*31</f>
        <v>7750</v>
      </c>
      <c r="G18" s="17"/>
      <c r="H18" s="32">
        <f>+[1]Sheet1!$F11</f>
        <v>2.1699999999999995</v>
      </c>
      <c r="I18" s="19">
        <f t="shared" si="2"/>
        <v>-1743.7499999999955</v>
      </c>
      <c r="J18" s="19"/>
      <c r="K18" s="19">
        <f t="shared" si="3"/>
        <v>-1743.7499999999955</v>
      </c>
    </row>
    <row r="19" spans="1:12" x14ac:dyDescent="0.25">
      <c r="A19" s="73" t="s">
        <v>83</v>
      </c>
      <c r="B19" s="15"/>
      <c r="C19" s="16"/>
      <c r="D19" s="72">
        <v>1.9450000000000001</v>
      </c>
      <c r="E19" s="17"/>
      <c r="F19" s="18">
        <f>250*30</f>
        <v>7500</v>
      </c>
      <c r="G19" s="17"/>
      <c r="H19" s="32">
        <f>+[1]Sheet1!$F12</f>
        <v>2.0430000000000001</v>
      </c>
      <c r="I19" s="19">
        <f t="shared" si="2"/>
        <v>-735.00000000000068</v>
      </c>
      <c r="J19" s="19"/>
      <c r="K19" s="19">
        <f t="shared" si="3"/>
        <v>-735.00000000000068</v>
      </c>
    </row>
    <row r="20" spans="1:12" x14ac:dyDescent="0.25">
      <c r="A20" s="73" t="s">
        <v>84</v>
      </c>
      <c r="B20" s="15"/>
      <c r="C20" s="16"/>
      <c r="D20" s="72">
        <v>1.9450000000000001</v>
      </c>
      <c r="E20" s="17"/>
      <c r="F20" s="18">
        <f>250*31</f>
        <v>7750</v>
      </c>
      <c r="G20" s="17"/>
      <c r="H20" s="32">
        <f>+[1]Sheet1!$F13</f>
        <v>2.06</v>
      </c>
      <c r="I20" s="19">
        <f t="shared" si="2"/>
        <v>-891.24999999999989</v>
      </c>
      <c r="J20" s="19"/>
      <c r="K20" s="19">
        <f t="shared" si="3"/>
        <v>-891.24999999999989</v>
      </c>
    </row>
    <row r="21" spans="1:12" x14ac:dyDescent="0.25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-26805.749999999989</v>
      </c>
      <c r="J21" s="22">
        <f>SUM(J9:J20)</f>
        <v>-18511.249999999993</v>
      </c>
      <c r="K21" s="22">
        <f>SUM(K9:K20)</f>
        <v>-8294.4999999999945</v>
      </c>
      <c r="L21" s="44">
        <f>+J21+K21-I21</f>
        <v>0</v>
      </c>
    </row>
    <row r="22" spans="1:12" x14ac:dyDescent="0.25">
      <c r="A22" s="20"/>
      <c r="B22" s="15"/>
      <c r="C22" s="15"/>
      <c r="D22" s="15"/>
      <c r="E22" s="15"/>
      <c r="F22" s="38"/>
      <c r="G22" s="15"/>
      <c r="H22" s="15"/>
      <c r="I22" s="48"/>
      <c r="J22" s="48"/>
      <c r="K22" s="48"/>
      <c r="L22" s="44"/>
    </row>
    <row r="23" spans="1:12" x14ac:dyDescent="0.25">
      <c r="A23" s="20"/>
      <c r="B23" s="15"/>
      <c r="C23" s="15"/>
      <c r="D23" s="15"/>
      <c r="E23" s="15"/>
      <c r="F23" s="15"/>
      <c r="G23" s="51" t="s">
        <v>71</v>
      </c>
      <c r="H23" s="15"/>
      <c r="I23" s="19"/>
      <c r="J23" s="19"/>
      <c r="K23" s="19"/>
    </row>
    <row r="24" spans="1:12" x14ac:dyDescent="0.25">
      <c r="A24" s="20"/>
      <c r="B24" s="15"/>
      <c r="C24" s="15"/>
      <c r="D24" s="15"/>
      <c r="E24" s="15"/>
      <c r="F24" s="15"/>
      <c r="G24" s="49"/>
      <c r="H24" s="15"/>
      <c r="I24" s="19"/>
      <c r="J24" s="19"/>
      <c r="K24" s="19"/>
    </row>
    <row r="25" spans="1:12" x14ac:dyDescent="0.25">
      <c r="A25" s="73" t="s">
        <v>73</v>
      </c>
      <c r="B25" s="16">
        <f>26125</f>
        <v>26125</v>
      </c>
      <c r="C25" s="16" t="s">
        <v>37</v>
      </c>
      <c r="D25" s="72">
        <v>1.9450000000000001</v>
      </c>
      <c r="E25" s="18">
        <f>-8600*30</f>
        <v>-258000</v>
      </c>
      <c r="F25" s="18">
        <f>-F9</f>
        <v>-7500</v>
      </c>
      <c r="G25" s="72">
        <v>2.0699999999999998</v>
      </c>
      <c r="H25" s="72"/>
      <c r="I25" s="19">
        <f t="shared" ref="I25:I30" si="4">SUM(D25-G25)*F25</f>
        <v>937.49999999999829</v>
      </c>
      <c r="J25" s="19">
        <f t="shared" ref="J25:J30" si="5">+I25</f>
        <v>937.49999999999829</v>
      </c>
      <c r="K25" s="19"/>
    </row>
    <row r="26" spans="1:12" x14ac:dyDescent="0.25">
      <c r="A26" s="73" t="s">
        <v>74</v>
      </c>
      <c r="B26" s="16">
        <f>26125</f>
        <v>26125</v>
      </c>
      <c r="C26" s="16" t="s">
        <v>37</v>
      </c>
      <c r="D26" s="72">
        <v>1.9450000000000001</v>
      </c>
      <c r="E26" s="18">
        <f>-8600*31</f>
        <v>-266600</v>
      </c>
      <c r="F26" s="18">
        <f t="shared" ref="F26:F36" si="6">-F10</f>
        <v>-7750</v>
      </c>
      <c r="G26" s="72">
        <v>2.11</v>
      </c>
      <c r="H26" s="72"/>
      <c r="I26" s="19">
        <f t="shared" si="4"/>
        <v>1278.7499999999986</v>
      </c>
      <c r="J26" s="19">
        <f t="shared" si="5"/>
        <v>1278.7499999999986</v>
      </c>
      <c r="K26" s="19"/>
    </row>
    <row r="27" spans="1:12" x14ac:dyDescent="0.25">
      <c r="A27" s="73" t="s">
        <v>75</v>
      </c>
      <c r="B27" s="16">
        <f>26125</f>
        <v>26125</v>
      </c>
      <c r="C27" s="16" t="s">
        <v>37</v>
      </c>
      <c r="D27" s="72">
        <v>1.9450000000000001</v>
      </c>
      <c r="E27" s="18">
        <f>-8600*31</f>
        <v>-266600</v>
      </c>
      <c r="F27" s="18">
        <f t="shared" si="6"/>
        <v>-7750</v>
      </c>
      <c r="G27" s="72">
        <v>2.5099999999999998</v>
      </c>
      <c r="H27" s="32"/>
      <c r="I27" s="19">
        <f t="shared" si="4"/>
        <v>4378.7499999999982</v>
      </c>
      <c r="J27" s="19">
        <f t="shared" si="5"/>
        <v>4378.7499999999982</v>
      </c>
      <c r="K27" s="19"/>
    </row>
    <row r="28" spans="1:12" x14ac:dyDescent="0.25">
      <c r="A28" s="73" t="s">
        <v>76</v>
      </c>
      <c r="B28" s="16">
        <f>26125</f>
        <v>26125</v>
      </c>
      <c r="C28" s="16" t="s">
        <v>37</v>
      </c>
      <c r="D28" s="72">
        <v>1.9450000000000001</v>
      </c>
      <c r="E28" s="18">
        <f>-8600*30</f>
        <v>-258000</v>
      </c>
      <c r="F28" s="18">
        <f t="shared" si="6"/>
        <v>-7500</v>
      </c>
      <c r="G28" s="72">
        <v>2.36</v>
      </c>
      <c r="H28" s="32"/>
      <c r="I28" s="19">
        <f t="shared" si="4"/>
        <v>3112.4999999999986</v>
      </c>
      <c r="J28" s="19">
        <f t="shared" si="5"/>
        <v>3112.4999999999986</v>
      </c>
      <c r="K28" s="19"/>
    </row>
    <row r="29" spans="1:12" x14ac:dyDescent="0.25">
      <c r="A29" s="73" t="s">
        <v>77</v>
      </c>
      <c r="B29" s="16">
        <f>26125</f>
        <v>26125</v>
      </c>
      <c r="C29" s="16" t="s">
        <v>37</v>
      </c>
      <c r="D29" s="72">
        <v>1.9450000000000001</v>
      </c>
      <c r="E29" s="18">
        <f>-8600*31</f>
        <v>-266600</v>
      </c>
      <c r="F29" s="18">
        <f t="shared" si="6"/>
        <v>-7750</v>
      </c>
      <c r="G29" s="72">
        <v>2.62</v>
      </c>
      <c r="H29" s="32"/>
      <c r="I29" s="19">
        <f t="shared" si="4"/>
        <v>5231.25</v>
      </c>
      <c r="J29" s="19">
        <f t="shared" si="5"/>
        <v>5231.25</v>
      </c>
      <c r="K29" s="19"/>
    </row>
    <row r="30" spans="1:12" x14ac:dyDescent="0.25">
      <c r="A30" s="73" t="s">
        <v>78</v>
      </c>
      <c r="B30" s="16">
        <f>26125</f>
        <v>26125</v>
      </c>
      <c r="C30" s="16" t="s">
        <v>37</v>
      </c>
      <c r="D30" s="72">
        <v>1.9450000000000001</v>
      </c>
      <c r="E30" s="18">
        <f>-8600*30</f>
        <v>-258000</v>
      </c>
      <c r="F30" s="18">
        <f t="shared" si="6"/>
        <v>-7500</v>
      </c>
      <c r="G30" s="72">
        <v>2.17</v>
      </c>
      <c r="H30" s="32"/>
      <c r="I30" s="19">
        <f t="shared" si="4"/>
        <v>1687.4999999999991</v>
      </c>
      <c r="J30" s="19">
        <f t="shared" si="5"/>
        <v>1687.4999999999991</v>
      </c>
      <c r="K30" s="19"/>
    </row>
    <row r="31" spans="1:12" x14ac:dyDescent="0.25">
      <c r="A31" s="73" t="s">
        <v>79</v>
      </c>
      <c r="B31" s="16">
        <f>26125</f>
        <v>26125</v>
      </c>
      <c r="C31" s="16" t="s">
        <v>37</v>
      </c>
      <c r="D31" s="72">
        <v>1.9450000000000001</v>
      </c>
      <c r="E31" s="18">
        <f>-8600*31</f>
        <v>-266600</v>
      </c>
      <c r="F31" s="18">
        <f t="shared" si="6"/>
        <v>-7750</v>
      </c>
      <c r="G31" s="17"/>
      <c r="H31" s="32">
        <v>2.09</v>
      </c>
      <c r="I31" s="19">
        <f t="shared" ref="I31:I36" si="7">SUM(D31-H31)*F31</f>
        <v>1123.7499999999984</v>
      </c>
      <c r="J31" s="19"/>
      <c r="K31" s="19">
        <f t="shared" ref="K31:K36" si="8">+I31</f>
        <v>1123.7499999999984</v>
      </c>
    </row>
    <row r="32" spans="1:12" x14ac:dyDescent="0.25">
      <c r="A32" s="73" t="s">
        <v>80</v>
      </c>
      <c r="B32" s="16">
        <f>26125</f>
        <v>26125</v>
      </c>
      <c r="C32" s="16" t="s">
        <v>37</v>
      </c>
      <c r="D32" s="72">
        <v>1.9450000000000001</v>
      </c>
      <c r="E32" s="18">
        <f>-8600*31</f>
        <v>-266600</v>
      </c>
      <c r="F32" s="18">
        <f t="shared" si="6"/>
        <v>-7750</v>
      </c>
      <c r="G32" s="17"/>
      <c r="H32" s="32">
        <f>+[1]Sheet1!$R9</f>
        <v>2.1983333333333333</v>
      </c>
      <c r="I32" s="19">
        <f t="shared" si="7"/>
        <v>1963.3333333333321</v>
      </c>
      <c r="J32" s="19"/>
      <c r="K32" s="19">
        <f t="shared" si="8"/>
        <v>1963.3333333333321</v>
      </c>
    </row>
    <row r="33" spans="1:12" x14ac:dyDescent="0.25">
      <c r="A33" s="73" t="s">
        <v>81</v>
      </c>
      <c r="B33" s="16">
        <f>26125</f>
        <v>26125</v>
      </c>
      <c r="C33" s="16" t="s">
        <v>37</v>
      </c>
      <c r="D33" s="72">
        <v>1.9450000000000001</v>
      </c>
      <c r="E33" s="18">
        <f>-8600*28</f>
        <v>-240800</v>
      </c>
      <c r="F33" s="18">
        <f t="shared" si="6"/>
        <v>-7250</v>
      </c>
      <c r="G33" s="17"/>
      <c r="H33" s="32">
        <f>+[1]Sheet1!$R10</f>
        <v>2.202</v>
      </c>
      <c r="I33" s="19">
        <f t="shared" si="7"/>
        <v>1863.2499999999993</v>
      </c>
      <c r="J33" s="19"/>
      <c r="K33" s="19">
        <f t="shared" si="8"/>
        <v>1863.2499999999993</v>
      </c>
    </row>
    <row r="34" spans="1:12" x14ac:dyDescent="0.25">
      <c r="A34" s="73" t="s">
        <v>82</v>
      </c>
      <c r="B34" s="16">
        <f>26125</f>
        <v>26125</v>
      </c>
      <c r="C34" s="16" t="s">
        <v>37</v>
      </c>
      <c r="D34" s="72">
        <v>1.9450000000000001</v>
      </c>
      <c r="E34" s="18">
        <f>-8600*31</f>
        <v>-266600</v>
      </c>
      <c r="F34" s="18">
        <f t="shared" si="6"/>
        <v>-7750</v>
      </c>
      <c r="G34" s="17"/>
      <c r="H34" s="32">
        <f>+[1]Sheet1!$R11</f>
        <v>2.1799999999999997</v>
      </c>
      <c r="I34" s="19">
        <f t="shared" si="7"/>
        <v>1821.2499999999973</v>
      </c>
      <c r="J34" s="19"/>
      <c r="K34" s="19">
        <f t="shared" si="8"/>
        <v>1821.2499999999973</v>
      </c>
    </row>
    <row r="35" spans="1:12" x14ac:dyDescent="0.25">
      <c r="A35" s="73" t="s">
        <v>83</v>
      </c>
      <c r="B35" s="16">
        <f>26125</f>
        <v>26125</v>
      </c>
      <c r="C35" s="16" t="s">
        <v>37</v>
      </c>
      <c r="D35" s="72">
        <v>1.9450000000000001</v>
      </c>
      <c r="E35" s="18">
        <f>-8600*30</f>
        <v>-258000</v>
      </c>
      <c r="F35" s="18">
        <f t="shared" si="6"/>
        <v>-7500</v>
      </c>
      <c r="G35" s="17"/>
      <c r="H35" s="32">
        <f>+[1]Sheet1!$R12</f>
        <v>2.1243333333333334</v>
      </c>
      <c r="I35" s="19">
        <f t="shared" si="7"/>
        <v>1345</v>
      </c>
      <c r="J35" s="19"/>
      <c r="K35" s="19">
        <f t="shared" si="8"/>
        <v>1345</v>
      </c>
    </row>
    <row r="36" spans="1:12" x14ac:dyDescent="0.25">
      <c r="A36" s="73" t="s">
        <v>84</v>
      </c>
      <c r="B36" s="16">
        <f>26125</f>
        <v>26125</v>
      </c>
      <c r="C36" s="16" t="s">
        <v>37</v>
      </c>
      <c r="D36" s="72">
        <v>1.9450000000000001</v>
      </c>
      <c r="E36" s="18">
        <f>-8600*31</f>
        <v>-266600</v>
      </c>
      <c r="F36" s="18">
        <f t="shared" si="6"/>
        <v>-7750</v>
      </c>
      <c r="G36" s="17"/>
      <c r="H36" s="32">
        <f>+[1]Sheet1!$R13</f>
        <v>2.1413333333333333</v>
      </c>
      <c r="I36" s="19">
        <f t="shared" si="7"/>
        <v>1521.5833333333326</v>
      </c>
      <c r="J36" s="19"/>
      <c r="K36" s="19">
        <f t="shared" si="8"/>
        <v>1521.5833333333326</v>
      </c>
    </row>
    <row r="37" spans="1:12" x14ac:dyDescent="0.25">
      <c r="A37" s="20"/>
      <c r="B37" s="15"/>
      <c r="C37" s="15"/>
      <c r="D37" s="15"/>
      <c r="E37" s="15"/>
      <c r="F37" s="21">
        <f>SUM(F25:F36)</f>
        <v>-91500</v>
      </c>
      <c r="G37" s="15"/>
      <c r="H37" s="72"/>
      <c r="I37" s="22">
        <f>SUM(I25:I36)</f>
        <v>26264.416666666653</v>
      </c>
      <c r="J37" s="22">
        <f>SUM(J25:J36)</f>
        <v>16626.249999999993</v>
      </c>
      <c r="K37" s="22">
        <f>SUM(K25:K36)</f>
        <v>9638.1666666666588</v>
      </c>
      <c r="L37" s="44">
        <f>+J37+K37-I37</f>
        <v>0</v>
      </c>
    </row>
    <row r="38" spans="1:12" x14ac:dyDescent="0.25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8" thickBot="1" x14ac:dyDescent="0.3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-541.33333333333576</v>
      </c>
      <c r="J39" s="24">
        <f>+J21+J37</f>
        <v>-1885</v>
      </c>
      <c r="K39" s="24">
        <f>+K21+K37</f>
        <v>1343.6666666666642</v>
      </c>
      <c r="L39" s="44">
        <f>+J39+K39-I39</f>
        <v>0</v>
      </c>
    </row>
    <row r="40" spans="1:12" ht="13.8" thickTop="1" x14ac:dyDescent="0.25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5">
      <c r="I41" s="28"/>
    </row>
    <row r="42" spans="1:12" x14ac:dyDescent="0.25">
      <c r="A42" s="29" t="s">
        <v>58</v>
      </c>
      <c r="J42"/>
      <c r="K42"/>
    </row>
    <row r="43" spans="1:12" s="29" customFormat="1" ht="10.199999999999999" x14ac:dyDescent="0.2">
      <c r="I43" s="30"/>
      <c r="J43" s="30"/>
      <c r="K43" s="30"/>
    </row>
    <row r="44" spans="1:12" x14ac:dyDescent="0.25">
      <c r="I44" s="28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109375" customWidth="1"/>
    <col min="7" max="7" width="14.33203125" customWidth="1"/>
    <col min="8" max="8" width="10.6640625" customWidth="1"/>
    <col min="9" max="9" width="13.6640625" customWidth="1"/>
    <col min="10" max="10" width="13.44140625" style="28" customWidth="1"/>
    <col min="11" max="11" width="13.6640625" style="28" customWidth="1"/>
  </cols>
  <sheetData>
    <row r="1" spans="1:11" s="2" customFormat="1" ht="15.6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6" x14ac:dyDescent="0.3">
      <c r="A3" s="1" t="s">
        <v>85</v>
      </c>
      <c r="B3" s="3"/>
      <c r="C3" s="3"/>
      <c r="D3" s="3"/>
      <c r="E3" s="3"/>
      <c r="F3" s="3"/>
      <c r="G3" s="3"/>
      <c r="H3" s="3"/>
      <c r="I3" s="3"/>
      <c r="J3" s="46"/>
      <c r="K3" s="46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  <c r="J4" s="43"/>
      <c r="K4" s="43"/>
    </row>
    <row r="6" spans="1:11" s="7" customFormat="1" x14ac:dyDescent="0.25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5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5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5">
      <c r="A9" s="31">
        <v>36069</v>
      </c>
      <c r="B9" s="15"/>
      <c r="C9" s="16" t="s">
        <v>35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2" si="1">+I9</f>
        <v>-14337.499999999987</v>
      </c>
      <c r="K9" s="19"/>
    </row>
    <row r="10" spans="1:11" x14ac:dyDescent="0.25">
      <c r="A10" s="31">
        <v>36100</v>
      </c>
      <c r="B10" s="15"/>
      <c r="C10" s="16" t="s">
        <v>35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5">
      <c r="A11" s="31">
        <v>36130</v>
      </c>
      <c r="B11" s="15"/>
      <c r="C11" s="16" t="s">
        <v>35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5">
      <c r="A12" s="31">
        <v>36161</v>
      </c>
      <c r="B12" s="15"/>
      <c r="C12" s="16" t="s">
        <v>35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5">
      <c r="A13" s="31">
        <v>36192</v>
      </c>
      <c r="B13" s="15"/>
      <c r="C13" s="16" t="s">
        <v>35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5">
      <c r="A14" s="31">
        <v>36220</v>
      </c>
      <c r="B14" s="15"/>
      <c r="C14" s="16" t="s">
        <v>35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5">
      <c r="A15" s="31">
        <v>36251</v>
      </c>
      <c r="B15" s="15"/>
      <c r="C15" s="16" t="s">
        <v>35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5">
      <c r="A16" s="31">
        <v>36281</v>
      </c>
      <c r="B16" s="15"/>
      <c r="C16" s="16" t="s">
        <v>35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5">
      <c r="A17" s="31">
        <v>36312</v>
      </c>
      <c r="B17" s="15"/>
      <c r="C17" s="16" t="s">
        <v>35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5">
      <c r="A18" s="31">
        <v>36342</v>
      </c>
      <c r="B18" s="15"/>
      <c r="C18" s="16" t="s">
        <v>35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5">
      <c r="A19" s="31">
        <v>36373</v>
      </c>
      <c r="B19" s="15"/>
      <c r="C19" s="16" t="s">
        <v>35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5">
      <c r="A20" s="31">
        <v>36404</v>
      </c>
      <c r="B20" s="15"/>
      <c r="C20" s="16" t="s">
        <v>35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5">
      <c r="A21" s="31">
        <v>36434</v>
      </c>
      <c r="B21" s="15"/>
      <c r="C21" s="16" t="s">
        <v>35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5">
      <c r="A22" s="31">
        <v>36465</v>
      </c>
      <c r="B22" s="15"/>
      <c r="C22" s="16" t="s">
        <v>35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5">
      <c r="A23" s="31">
        <v>36495</v>
      </c>
      <c r="B23" s="15"/>
      <c r="C23" s="16" t="s">
        <v>35</v>
      </c>
      <c r="D23" s="32">
        <f t="shared" si="2"/>
        <v>2.0049999999999999</v>
      </c>
      <c r="E23" s="15"/>
      <c r="F23" s="18">
        <f t="shared" si="3"/>
        <v>-77500</v>
      </c>
      <c r="G23" s="15"/>
      <c r="H23" s="32">
        <v>2.08</v>
      </c>
      <c r="I23" s="17">
        <f>SUM(D23-H23)*F23</f>
        <v>5812.5000000000136</v>
      </c>
      <c r="J23" s="19"/>
      <c r="K23" s="19">
        <f>+I23</f>
        <v>5812.5000000000136</v>
      </c>
    </row>
    <row r="24" spans="1:12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91600.000000000087</v>
      </c>
      <c r="K24" s="33">
        <f>SUM(K9:K23)</f>
        <v>5812.5000000000136</v>
      </c>
      <c r="L24" s="44">
        <f>+J24+K24-I24</f>
        <v>0</v>
      </c>
    </row>
    <row r="25" spans="1:12" x14ac:dyDescent="0.25">
      <c r="A25" s="15"/>
      <c r="B25" s="15"/>
      <c r="C25" s="15"/>
      <c r="D25" s="15"/>
      <c r="E25" s="15"/>
      <c r="F25" s="38"/>
      <c r="G25" s="15"/>
      <c r="H25" s="15"/>
      <c r="I25" s="53"/>
      <c r="J25" s="54"/>
      <c r="K25" s="54"/>
      <c r="L25" s="44"/>
    </row>
    <row r="26" spans="1:12" x14ac:dyDescent="0.25">
      <c r="A26" s="15"/>
      <c r="B26" s="15"/>
      <c r="C26" s="15"/>
      <c r="D26" s="15"/>
      <c r="E26" s="15"/>
      <c r="F26" s="38"/>
      <c r="G26" s="51" t="s">
        <v>71</v>
      </c>
      <c r="H26" s="15"/>
      <c r="I26" s="53"/>
      <c r="J26" s="54"/>
      <c r="K26" s="54"/>
      <c r="L26" s="44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5">
      <c r="A28" s="31">
        <v>36069</v>
      </c>
      <c r="B28" s="15"/>
      <c r="C28" s="16" t="s">
        <v>50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1" si="5">+I28</f>
        <v>17437.499999999989</v>
      </c>
      <c r="K28" s="19"/>
    </row>
    <row r="29" spans="1:12" x14ac:dyDescent="0.25">
      <c r="A29" s="31">
        <v>36100</v>
      </c>
      <c r="B29" s="15"/>
      <c r="C29" s="16" t="s">
        <v>50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7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5">
      <c r="A30" s="31">
        <v>36130</v>
      </c>
      <c r="B30" s="15"/>
      <c r="C30" s="16" t="s">
        <v>50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7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5">
      <c r="A31" s="31">
        <v>36161</v>
      </c>
      <c r="B31" s="15"/>
      <c r="C31" s="16" t="s">
        <v>50</v>
      </c>
      <c r="D31" s="32">
        <f t="shared" si="6"/>
        <v>2.0049999999999999</v>
      </c>
      <c r="E31" s="15"/>
      <c r="F31" s="18">
        <f>2500*31</f>
        <v>77500</v>
      </c>
      <c r="G31" s="71">
        <v>1.73</v>
      </c>
      <c r="H31" s="7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5">
      <c r="A32" s="31">
        <v>36192</v>
      </c>
      <c r="B32" s="15"/>
      <c r="C32" s="16" t="s">
        <v>50</v>
      </c>
      <c r="D32" s="32">
        <f t="shared" si="6"/>
        <v>2.0049999999999999</v>
      </c>
      <c r="E32" s="15"/>
      <c r="F32" s="18">
        <f>2500*28</f>
        <v>70000</v>
      </c>
      <c r="G32" s="71">
        <v>1.63</v>
      </c>
      <c r="H32" s="71"/>
      <c r="I32" s="17">
        <f t="shared" si="4"/>
        <v>26250</v>
      </c>
      <c r="J32" s="19">
        <f t="shared" si="5"/>
        <v>26250</v>
      </c>
      <c r="K32" s="19"/>
    </row>
    <row r="33" spans="1:12" x14ac:dyDescent="0.25">
      <c r="A33" s="31">
        <v>36220</v>
      </c>
      <c r="B33" s="15"/>
      <c r="C33" s="16" t="s">
        <v>50</v>
      </c>
      <c r="D33" s="32">
        <f t="shared" si="6"/>
        <v>2.0049999999999999</v>
      </c>
      <c r="E33" s="15"/>
      <c r="F33" s="18">
        <f>2500*31</f>
        <v>77500</v>
      </c>
      <c r="G33" s="71">
        <v>1.59</v>
      </c>
      <c r="H33" s="7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5">
      <c r="A34" s="31">
        <v>36251</v>
      </c>
      <c r="B34" s="15"/>
      <c r="C34" s="16" t="s">
        <v>50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7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5">
      <c r="A35" s="31">
        <v>36281</v>
      </c>
      <c r="B35" s="15"/>
      <c r="C35" s="16" t="s">
        <v>50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7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5">
      <c r="A36" s="31">
        <v>36312</v>
      </c>
      <c r="B36" s="15"/>
      <c r="C36" s="16" t="s">
        <v>50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5">
      <c r="A37" s="31">
        <v>36342</v>
      </c>
      <c r="B37" s="15"/>
      <c r="C37" s="16" t="s">
        <v>50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5">
      <c r="A38" s="31">
        <v>36373</v>
      </c>
      <c r="B38" s="15"/>
      <c r="C38" s="16" t="s">
        <v>50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5">
      <c r="A39" s="31">
        <v>36404</v>
      </c>
      <c r="B39" s="15"/>
      <c r="C39" s="16" t="s">
        <v>50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5">
      <c r="A40" s="31">
        <v>36434</v>
      </c>
      <c r="B40" s="15"/>
      <c r="C40" s="16" t="s">
        <v>50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5">
      <c r="A41" s="31">
        <v>36465</v>
      </c>
      <c r="B41" s="15"/>
      <c r="C41" s="16" t="s">
        <v>50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5">
      <c r="A42" s="31">
        <v>36495</v>
      </c>
      <c r="B42" s="15"/>
      <c r="C42" s="16" t="s">
        <v>50</v>
      </c>
      <c r="D42" s="32">
        <f t="shared" si="6"/>
        <v>2.0049999999999999</v>
      </c>
      <c r="E42" s="15"/>
      <c r="F42" s="18">
        <f>2500*31</f>
        <v>77500</v>
      </c>
      <c r="G42" s="15"/>
      <c r="H42" s="32">
        <v>2.09</v>
      </c>
      <c r="I42" s="17">
        <f>SUM(D42-H42)*F42</f>
        <v>-6587.4999999999973</v>
      </c>
      <c r="J42" s="19"/>
      <c r="K42" s="19">
        <f>+I42</f>
        <v>-6587.4999999999973</v>
      </c>
    </row>
    <row r="43" spans="1:12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-25962.500000000069</v>
      </c>
      <c r="J43" s="33">
        <f>SUM(J28:J42)</f>
        <v>-19375.000000000073</v>
      </c>
      <c r="K43" s="33">
        <f>SUM(K28:K42)</f>
        <v>-6587.4999999999973</v>
      </c>
      <c r="L43" s="44">
        <f>+J43+K43-I43</f>
        <v>0</v>
      </c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71450.000000000029</v>
      </c>
      <c r="J45" s="34">
        <f>+J43+J24</f>
        <v>72225.000000000015</v>
      </c>
      <c r="K45" s="34">
        <f>+K43+K24</f>
        <v>-774.99999999998363</v>
      </c>
      <c r="L45" s="44">
        <f>+J45+K45-I45</f>
        <v>0</v>
      </c>
    </row>
    <row r="46" spans="1:12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5">
      <c r="A48" s="29" t="s">
        <v>58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>
      <pane xSplit="9168" topLeftCell="I1"/>
      <selection pane="topRight" activeCell="I1" sqref="I1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3.6640625" customWidth="1"/>
    <col min="10" max="11" width="13.44140625" customWidth="1"/>
  </cols>
  <sheetData>
    <row r="1" spans="1:11" s="2" customFormat="1" ht="15.6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5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5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5">
      <c r="A9" s="31">
        <v>36069</v>
      </c>
      <c r="B9" s="15"/>
      <c r="C9" s="16" t="s">
        <v>40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2">
        <f t="shared" ref="J9:J22" si="1">+I9</f>
        <v>-21700.000000000004</v>
      </c>
      <c r="K9" s="42"/>
    </row>
    <row r="10" spans="1:11" x14ac:dyDescent="0.25">
      <c r="A10" s="31">
        <v>36100</v>
      </c>
      <c r="B10" s="15"/>
      <c r="C10" s="16" t="s">
        <v>40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2">
        <f t="shared" si="1"/>
        <v>-13500.000000000013</v>
      </c>
      <c r="K10" s="42"/>
    </row>
    <row r="11" spans="1:11" x14ac:dyDescent="0.25">
      <c r="A11" s="31">
        <v>36130</v>
      </c>
      <c r="B11" s="15"/>
      <c r="C11" s="16" t="s">
        <v>40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2">
        <f t="shared" si="1"/>
        <v>-8525.0000000000073</v>
      </c>
      <c r="K11" s="42"/>
    </row>
    <row r="12" spans="1:11" x14ac:dyDescent="0.25">
      <c r="A12" s="31">
        <v>36161</v>
      </c>
      <c r="B12" s="15"/>
      <c r="C12" s="16" t="s">
        <v>40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2">
        <f t="shared" si="1"/>
        <v>-28675.000000000007</v>
      </c>
      <c r="K12" s="42"/>
    </row>
    <row r="13" spans="1:11" x14ac:dyDescent="0.25">
      <c r="A13" s="31">
        <v>36192</v>
      </c>
      <c r="B13" s="15"/>
      <c r="C13" s="16" t="s">
        <v>40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2">
        <f t="shared" si="1"/>
        <v>-30800.000000000011</v>
      </c>
      <c r="K13" s="42"/>
    </row>
    <row r="14" spans="1:11" x14ac:dyDescent="0.25">
      <c r="A14" s="31">
        <v>36220</v>
      </c>
      <c r="B14" s="15"/>
      <c r="C14" s="16" t="s">
        <v>40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2">
        <f t="shared" si="1"/>
        <v>-43400.000000000007</v>
      </c>
      <c r="K14" s="42"/>
    </row>
    <row r="15" spans="1:11" x14ac:dyDescent="0.25">
      <c r="A15" s="31">
        <v>36251</v>
      </c>
      <c r="B15" s="15"/>
      <c r="C15" s="16" t="s">
        <v>40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2">
        <f t="shared" si="1"/>
        <v>-33000.000000000015</v>
      </c>
      <c r="K15" s="42"/>
    </row>
    <row r="16" spans="1:11" x14ac:dyDescent="0.25">
      <c r="A16" s="31">
        <v>36281</v>
      </c>
      <c r="B16" s="15"/>
      <c r="C16" s="16" t="s">
        <v>40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2">
        <f t="shared" si="1"/>
        <v>4650.0000000000045</v>
      </c>
      <c r="K16" s="42"/>
    </row>
    <row r="17" spans="1:11" x14ac:dyDescent="0.25">
      <c r="A17" s="31">
        <v>36312</v>
      </c>
      <c r="B17" s="15"/>
      <c r="C17" s="16" t="s">
        <v>40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2">
        <f t="shared" si="1"/>
        <v>-1500.0000000000014</v>
      </c>
      <c r="K17" s="42"/>
    </row>
    <row r="18" spans="1:11" x14ac:dyDescent="0.25">
      <c r="A18" s="31">
        <v>36342</v>
      </c>
      <c r="B18" s="15"/>
      <c r="C18" s="16" t="s">
        <v>40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2">
        <f t="shared" si="1"/>
        <v>5424.9999999999873</v>
      </c>
      <c r="K18" s="42"/>
    </row>
    <row r="19" spans="1:11" x14ac:dyDescent="0.25">
      <c r="A19" s="31">
        <v>36373</v>
      </c>
      <c r="B19" s="15"/>
      <c r="C19" s="16" t="s">
        <v>40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2">
        <f t="shared" si="1"/>
        <v>27899.999999999989</v>
      </c>
      <c r="K19" s="42"/>
    </row>
    <row r="20" spans="1:11" x14ac:dyDescent="0.25">
      <c r="A20" s="31">
        <v>36404</v>
      </c>
      <c r="B20" s="15"/>
      <c r="C20" s="16" t="s">
        <v>40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2">
        <f t="shared" si="1"/>
        <v>50999.999999999978</v>
      </c>
      <c r="K20" s="42"/>
    </row>
    <row r="21" spans="1:11" x14ac:dyDescent="0.25">
      <c r="A21" s="31">
        <v>36434</v>
      </c>
      <c r="B21" s="15"/>
      <c r="C21" s="16" t="s">
        <v>40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2">
        <f t="shared" si="1"/>
        <v>24799.999999999989</v>
      </c>
      <c r="K21" s="42"/>
    </row>
    <row r="22" spans="1:11" x14ac:dyDescent="0.25">
      <c r="A22" s="31">
        <v>36465</v>
      </c>
      <c r="B22" s="15"/>
      <c r="C22" s="16" t="s">
        <v>40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2">
        <f t="shared" si="1"/>
        <v>57750</v>
      </c>
      <c r="K22" s="42"/>
    </row>
    <row r="23" spans="1:11" x14ac:dyDescent="0.25">
      <c r="A23" s="31">
        <v>36495</v>
      </c>
      <c r="B23" s="15"/>
      <c r="C23" s="16" t="s">
        <v>40</v>
      </c>
      <c r="D23" s="32">
        <f t="shared" si="2"/>
        <v>2.1</v>
      </c>
      <c r="E23" s="15"/>
      <c r="F23" s="18">
        <f t="shared" si="3"/>
        <v>-77500</v>
      </c>
      <c r="G23" s="15"/>
      <c r="H23" s="32">
        <v>2.08</v>
      </c>
      <c r="I23" s="17">
        <f>SUM(D23-H23)*F23</f>
        <v>-1550.0000000000014</v>
      </c>
      <c r="J23" s="40"/>
      <c r="K23" s="42">
        <f>+I23</f>
        <v>-1550.0000000000014</v>
      </c>
    </row>
    <row r="24" spans="1:11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-9575.0000000001019</v>
      </c>
      <c r="K24" s="35">
        <f>SUM(K9:K23)</f>
        <v>-1550.0000000000014</v>
      </c>
    </row>
    <row r="25" spans="1:11" x14ac:dyDescent="0.25">
      <c r="A25" s="15"/>
      <c r="B25" s="15"/>
      <c r="C25" s="15"/>
      <c r="D25" s="15"/>
      <c r="E25" s="15"/>
      <c r="F25" s="38"/>
      <c r="G25" s="15"/>
      <c r="H25" s="15"/>
      <c r="I25" s="55"/>
      <c r="J25" s="48"/>
      <c r="K25" s="48"/>
    </row>
    <row r="26" spans="1:11" x14ac:dyDescent="0.25">
      <c r="A26" s="15"/>
      <c r="B26" s="15"/>
      <c r="C26" s="15"/>
      <c r="D26" s="15"/>
      <c r="E26" s="15"/>
      <c r="F26" s="15"/>
      <c r="G26" s="51" t="s">
        <v>71</v>
      </c>
      <c r="H26" s="36"/>
      <c r="I26" s="15"/>
      <c r="J26" s="40"/>
      <c r="K26" s="40"/>
    </row>
    <row r="27" spans="1:11" x14ac:dyDescent="0.25">
      <c r="A27" s="15"/>
      <c r="B27" s="15"/>
      <c r="C27" s="15"/>
      <c r="D27" s="15"/>
      <c r="E27" s="15"/>
      <c r="F27" s="15"/>
      <c r="G27" s="50"/>
      <c r="H27" s="36"/>
      <c r="I27" s="15"/>
      <c r="J27" s="40"/>
      <c r="K27" s="40"/>
    </row>
    <row r="28" spans="1:11" x14ac:dyDescent="0.25">
      <c r="A28" s="31">
        <v>36069</v>
      </c>
      <c r="B28" s="15"/>
      <c r="C28" s="16" t="s">
        <v>50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2">
        <f t="shared" ref="J28:J41" si="6">+I28</f>
        <v>24800.000000000004</v>
      </c>
      <c r="K28" s="42"/>
    </row>
    <row r="29" spans="1:11" x14ac:dyDescent="0.25">
      <c r="A29" s="31">
        <v>36100</v>
      </c>
      <c r="B29" s="15"/>
      <c r="C29" s="16" t="s">
        <v>50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71"/>
      <c r="I29" s="17">
        <f t="shared" si="5"/>
        <v>8250.0000000000073</v>
      </c>
      <c r="J29" s="42">
        <f t="shared" si="6"/>
        <v>8250.0000000000073</v>
      </c>
      <c r="K29" s="42"/>
    </row>
    <row r="30" spans="1:11" x14ac:dyDescent="0.25">
      <c r="A30" s="31">
        <v>36130</v>
      </c>
      <c r="B30" s="15"/>
      <c r="C30" s="16" t="s">
        <v>50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71"/>
      <c r="I30" s="17">
        <f t="shared" si="5"/>
        <v>27900.000000000007</v>
      </c>
      <c r="J30" s="42">
        <f t="shared" si="6"/>
        <v>27900.000000000007</v>
      </c>
      <c r="K30" s="42"/>
    </row>
    <row r="31" spans="1:11" x14ac:dyDescent="0.25">
      <c r="A31" s="31">
        <v>36161</v>
      </c>
      <c r="B31" s="15"/>
      <c r="C31" s="16" t="s">
        <v>50</v>
      </c>
      <c r="D31" s="32">
        <f t="shared" si="4"/>
        <v>2.1</v>
      </c>
      <c r="E31" s="15"/>
      <c r="F31" s="18">
        <f>2500*31</f>
        <v>77500</v>
      </c>
      <c r="G31" s="71">
        <v>1.73</v>
      </c>
      <c r="H31" s="71"/>
      <c r="I31" s="17">
        <f t="shared" si="5"/>
        <v>28675.000000000007</v>
      </c>
      <c r="J31" s="42">
        <f t="shared" si="6"/>
        <v>28675.000000000007</v>
      </c>
      <c r="K31" s="42"/>
    </row>
    <row r="32" spans="1:11" x14ac:dyDescent="0.25">
      <c r="A32" s="31">
        <v>36192</v>
      </c>
      <c r="B32" s="15"/>
      <c r="C32" s="16" t="s">
        <v>50</v>
      </c>
      <c r="D32" s="32">
        <f t="shared" si="4"/>
        <v>2.1</v>
      </c>
      <c r="E32" s="15"/>
      <c r="F32" s="18">
        <f>2500*28</f>
        <v>70000</v>
      </c>
      <c r="G32" s="71">
        <v>1.63</v>
      </c>
      <c r="H32" s="71"/>
      <c r="I32" s="17">
        <f t="shared" si="5"/>
        <v>32900.000000000015</v>
      </c>
      <c r="J32" s="42">
        <f t="shared" si="6"/>
        <v>32900.000000000015</v>
      </c>
      <c r="K32" s="42"/>
    </row>
    <row r="33" spans="1:11" x14ac:dyDescent="0.25">
      <c r="A33" s="31">
        <v>36220</v>
      </c>
      <c r="B33" s="15"/>
      <c r="C33" s="16" t="s">
        <v>50</v>
      </c>
      <c r="D33" s="32">
        <f t="shared" si="4"/>
        <v>2.1</v>
      </c>
      <c r="E33" s="15"/>
      <c r="F33" s="18">
        <f>2500*31</f>
        <v>77500</v>
      </c>
      <c r="G33" s="71">
        <v>1.59</v>
      </c>
      <c r="H33" s="71"/>
      <c r="I33" s="17">
        <f t="shared" si="5"/>
        <v>39525</v>
      </c>
      <c r="J33" s="42">
        <f t="shared" si="6"/>
        <v>39525</v>
      </c>
      <c r="K33" s="42"/>
    </row>
    <row r="34" spans="1:11" x14ac:dyDescent="0.25">
      <c r="A34" s="31">
        <v>36251</v>
      </c>
      <c r="B34" s="15"/>
      <c r="C34" s="16" t="s">
        <v>50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71"/>
      <c r="I34" s="17">
        <f t="shared" si="5"/>
        <v>12000.000000000011</v>
      </c>
      <c r="J34" s="42">
        <f t="shared" si="6"/>
        <v>12000.000000000011</v>
      </c>
      <c r="K34" s="42"/>
    </row>
    <row r="35" spans="1:11" x14ac:dyDescent="0.25">
      <c r="A35" s="31">
        <v>36281</v>
      </c>
      <c r="B35" s="15"/>
      <c r="C35" s="16" t="s">
        <v>50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71"/>
      <c r="I35" s="17">
        <f t="shared" si="5"/>
        <v>3100.0000000000027</v>
      </c>
      <c r="J35" s="42">
        <f t="shared" si="6"/>
        <v>3100.0000000000027</v>
      </c>
      <c r="K35" s="42"/>
    </row>
    <row r="36" spans="1:11" x14ac:dyDescent="0.25">
      <c r="A36" s="31">
        <v>36312</v>
      </c>
      <c r="B36" s="15"/>
      <c r="C36" s="16" t="s">
        <v>50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2">
        <f t="shared" si="6"/>
        <v>2250.0000000000186</v>
      </c>
      <c r="K36" s="42"/>
    </row>
    <row r="37" spans="1:11" x14ac:dyDescent="0.25">
      <c r="A37" s="31">
        <v>36342</v>
      </c>
      <c r="B37" s="15"/>
      <c r="C37" s="16" t="s">
        <v>50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2">
        <f t="shared" si="6"/>
        <v>-774.99999999998352</v>
      </c>
      <c r="K37" s="42"/>
    </row>
    <row r="38" spans="1:11" x14ac:dyDescent="0.25">
      <c r="A38" s="31">
        <v>36373</v>
      </c>
      <c r="B38" s="15"/>
      <c r="C38" s="16" t="s">
        <v>50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2">
        <f t="shared" si="6"/>
        <v>-31774.999999999978</v>
      </c>
      <c r="K38" s="42"/>
    </row>
    <row r="39" spans="1:11" x14ac:dyDescent="0.25">
      <c r="A39" s="31">
        <v>36404</v>
      </c>
      <c r="B39" s="15"/>
      <c r="C39" s="16" t="s">
        <v>50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2">
        <f t="shared" si="6"/>
        <v>-19499.999999999985</v>
      </c>
      <c r="K39" s="42"/>
    </row>
    <row r="40" spans="1:11" x14ac:dyDescent="0.25">
      <c r="A40" s="31">
        <v>36434</v>
      </c>
      <c r="B40" s="15"/>
      <c r="C40" s="16" t="s">
        <v>50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2">
        <f t="shared" si="6"/>
        <v>-40300</v>
      </c>
      <c r="K40" s="42"/>
    </row>
    <row r="41" spans="1:11" x14ac:dyDescent="0.25">
      <c r="A41" s="31">
        <v>36465</v>
      </c>
      <c r="B41" s="15"/>
      <c r="C41" s="16" t="s">
        <v>50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2">
        <f t="shared" si="6"/>
        <v>-5249.9999999999882</v>
      </c>
      <c r="K41" s="42"/>
    </row>
    <row r="42" spans="1:11" x14ac:dyDescent="0.25">
      <c r="A42" s="31">
        <v>36495</v>
      </c>
      <c r="B42" s="15"/>
      <c r="C42" s="16" t="s">
        <v>50</v>
      </c>
      <c r="D42" s="32">
        <f t="shared" si="4"/>
        <v>2.1</v>
      </c>
      <c r="E42" s="15"/>
      <c r="F42" s="18">
        <f>2500*31</f>
        <v>77500</v>
      </c>
      <c r="G42" s="15"/>
      <c r="H42" s="32">
        <v>2.09</v>
      </c>
      <c r="I42" s="37">
        <f>SUM(D42-H42)*F42</f>
        <v>775.00000000001785</v>
      </c>
      <c r="J42" s="40"/>
      <c r="K42" s="42">
        <f>+I42</f>
        <v>775.00000000001785</v>
      </c>
    </row>
    <row r="43" spans="1:11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82575.000000000189</v>
      </c>
      <c r="J43" s="33">
        <f>SUM(J28:J42)</f>
        <v>81800.000000000175</v>
      </c>
      <c r="K43" s="33">
        <f>SUM(K28:K42)</f>
        <v>775.00000000001785</v>
      </c>
    </row>
    <row r="44" spans="1:1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40"/>
      <c r="K44" s="40"/>
    </row>
    <row r="45" spans="1:11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71450.000000000087</v>
      </c>
      <c r="J45" s="34">
        <f>+J43+J24</f>
        <v>72225.000000000073</v>
      </c>
      <c r="K45" s="34">
        <f>+K43+K24</f>
        <v>-774.99999999998352</v>
      </c>
    </row>
    <row r="46" spans="1:11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41"/>
      <c r="K46" s="41"/>
    </row>
    <row r="48" spans="1:11" x14ac:dyDescent="0.25">
      <c r="A48" s="29" t="s">
        <v>58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5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5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5">
      <c r="A9" s="31">
        <v>36281</v>
      </c>
      <c r="B9" s="15"/>
      <c r="C9" s="16" t="s">
        <v>40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5" si="0">SUM(D9-G9)*F9</f>
        <v>46500.000000000109</v>
      </c>
      <c r="J9" s="42">
        <f t="shared" ref="J9:J15" si="1">+I9</f>
        <v>46500.000000000109</v>
      </c>
      <c r="K9" s="42"/>
    </row>
    <row r="10" spans="1:11" x14ac:dyDescent="0.25">
      <c r="A10" s="31">
        <v>36312</v>
      </c>
      <c r="B10" s="15"/>
      <c r="C10" s="16" t="s">
        <v>40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2">
        <f t="shared" si="1"/>
        <v>21000.000000000084</v>
      </c>
      <c r="K10" s="42"/>
    </row>
    <row r="11" spans="1:11" x14ac:dyDescent="0.25">
      <c r="A11" s="31">
        <v>36342</v>
      </c>
      <c r="B11" s="15"/>
      <c r="C11" s="16" t="s">
        <v>40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2">
        <f t="shared" si="1"/>
        <v>49600.000000000044</v>
      </c>
      <c r="K11" s="42"/>
    </row>
    <row r="12" spans="1:11" x14ac:dyDescent="0.25">
      <c r="A12" s="31">
        <v>36373</v>
      </c>
      <c r="B12" s="15"/>
      <c r="C12" s="16" t="s">
        <v>40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2">
        <f t="shared" si="1"/>
        <v>139500.00000000006</v>
      </c>
      <c r="K12" s="42"/>
    </row>
    <row r="13" spans="1:11" x14ac:dyDescent="0.25">
      <c r="A13" s="31">
        <v>36404</v>
      </c>
      <c r="B13" s="15"/>
      <c r="C13" s="16" t="s">
        <v>40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2">
        <f t="shared" si="1"/>
        <v>231000</v>
      </c>
      <c r="K13" s="42"/>
    </row>
    <row r="14" spans="1:11" x14ac:dyDescent="0.25">
      <c r="A14" s="31">
        <v>36434</v>
      </c>
      <c r="B14" s="15"/>
      <c r="C14" s="16" t="s">
        <v>40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2">
        <f t="shared" si="1"/>
        <v>127100.00000000004</v>
      </c>
      <c r="K14" s="42"/>
    </row>
    <row r="15" spans="1:11" x14ac:dyDescent="0.25">
      <c r="A15" s="31">
        <v>36465</v>
      </c>
      <c r="B15" s="15"/>
      <c r="C15" s="16" t="s">
        <v>40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2">
        <f t="shared" si="1"/>
        <v>258000.00000000009</v>
      </c>
      <c r="K15" s="42"/>
    </row>
    <row r="16" spans="1:11" x14ac:dyDescent="0.25">
      <c r="A16" s="31">
        <v>36495</v>
      </c>
      <c r="B16" s="15"/>
      <c r="C16" s="16" t="s">
        <v>40</v>
      </c>
      <c r="D16" s="32">
        <v>2.0099999999999998</v>
      </c>
      <c r="E16" s="15"/>
      <c r="F16" s="18">
        <f t="shared" si="2"/>
        <v>-310000</v>
      </c>
      <c r="G16" s="15"/>
      <c r="H16" s="32">
        <v>2.08</v>
      </c>
      <c r="I16" s="17">
        <f>SUM(D16-H16)*F16</f>
        <v>21700.000000000087</v>
      </c>
      <c r="J16" s="40"/>
      <c r="K16" s="42">
        <f>+I16</f>
        <v>21700.000000000087</v>
      </c>
    </row>
    <row r="17" spans="1:11" x14ac:dyDescent="0.25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872700.00000000047</v>
      </c>
      <c r="K17" s="35">
        <f>SUM(K9:K16)</f>
        <v>21700.000000000087</v>
      </c>
    </row>
    <row r="18" spans="1:11" x14ac:dyDescent="0.25">
      <c r="A18" s="15"/>
      <c r="B18" s="15"/>
      <c r="C18" s="15"/>
      <c r="D18" s="15"/>
      <c r="E18" s="15"/>
      <c r="F18" s="38"/>
      <c r="G18" s="15"/>
      <c r="H18" s="15"/>
      <c r="I18" s="55"/>
      <c r="J18" s="48"/>
      <c r="K18" s="48"/>
    </row>
    <row r="19" spans="1:11" x14ac:dyDescent="0.25">
      <c r="A19" s="15"/>
      <c r="B19" s="15"/>
      <c r="C19" s="15"/>
      <c r="D19" s="15"/>
      <c r="E19" s="15"/>
      <c r="F19" s="15"/>
      <c r="G19" s="51" t="s">
        <v>71</v>
      </c>
      <c r="H19" s="36"/>
      <c r="I19" s="15"/>
      <c r="J19" s="40"/>
      <c r="K19" s="40"/>
    </row>
    <row r="20" spans="1:11" x14ac:dyDescent="0.25">
      <c r="A20" s="15"/>
      <c r="B20" s="15"/>
      <c r="C20" s="15"/>
      <c r="D20" s="32"/>
      <c r="E20" s="15"/>
      <c r="F20" s="15"/>
      <c r="G20" s="50"/>
      <c r="H20" s="36"/>
      <c r="I20" s="15"/>
      <c r="J20" s="40"/>
      <c r="K20" s="40"/>
    </row>
    <row r="21" spans="1:11" x14ac:dyDescent="0.25">
      <c r="A21" s="31">
        <v>36281</v>
      </c>
      <c r="B21" s="15"/>
      <c r="C21" s="16" t="s">
        <v>50</v>
      </c>
      <c r="D21" s="32">
        <v>2.0099999999999998</v>
      </c>
      <c r="E21" s="15"/>
      <c r="F21" s="18">
        <f>10000*31</f>
        <v>310000</v>
      </c>
      <c r="G21" s="32">
        <v>2.06</v>
      </c>
      <c r="H21" s="71"/>
      <c r="I21" s="17">
        <f t="shared" ref="I21:I27" si="3">SUM(D21-G21)*F21</f>
        <v>-15500.000000000082</v>
      </c>
      <c r="J21" s="42">
        <f t="shared" ref="J21:J27" si="4">+I21</f>
        <v>-15500.000000000082</v>
      </c>
      <c r="K21" s="42"/>
    </row>
    <row r="22" spans="1:11" x14ac:dyDescent="0.25">
      <c r="A22" s="31">
        <v>36312</v>
      </c>
      <c r="B22" s="15"/>
      <c r="C22" s="16" t="s">
        <v>50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2">
        <f t="shared" si="4"/>
        <v>-18000.000000000015</v>
      </c>
      <c r="K22" s="42"/>
    </row>
    <row r="23" spans="1:11" x14ac:dyDescent="0.25">
      <c r="A23" s="31">
        <v>36342</v>
      </c>
      <c r="B23" s="15"/>
      <c r="C23" s="16" t="s">
        <v>50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2">
        <f t="shared" si="4"/>
        <v>-31000.000000000029</v>
      </c>
      <c r="K23" s="42"/>
    </row>
    <row r="24" spans="1:11" x14ac:dyDescent="0.25">
      <c r="A24" s="31">
        <v>36373</v>
      </c>
      <c r="B24" s="15"/>
      <c r="C24" s="16" t="s">
        <v>50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2">
        <f t="shared" si="4"/>
        <v>-155000</v>
      </c>
      <c r="K24" s="42"/>
    </row>
    <row r="25" spans="1:11" x14ac:dyDescent="0.25">
      <c r="A25" s="31">
        <v>36404</v>
      </c>
      <c r="B25" s="15"/>
      <c r="C25" s="16" t="s">
        <v>50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2">
        <f t="shared" si="4"/>
        <v>-105000.00000000003</v>
      </c>
      <c r="K25" s="42"/>
    </row>
    <row r="26" spans="1:11" x14ac:dyDescent="0.25">
      <c r="A26" s="31">
        <v>36434</v>
      </c>
      <c r="B26" s="15"/>
      <c r="C26" s="16" t="s">
        <v>50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2">
        <f t="shared" si="4"/>
        <v>-189100.00000000009</v>
      </c>
      <c r="K26" s="42"/>
    </row>
    <row r="27" spans="1:11" x14ac:dyDescent="0.25">
      <c r="A27" s="31">
        <v>36465</v>
      </c>
      <c r="B27" s="15"/>
      <c r="C27" s="16" t="s">
        <v>50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2">
        <f t="shared" si="4"/>
        <v>-48000.000000000044</v>
      </c>
      <c r="K27" s="42"/>
    </row>
    <row r="28" spans="1:11" x14ac:dyDescent="0.25">
      <c r="A28" s="31">
        <v>36495</v>
      </c>
      <c r="B28" s="15"/>
      <c r="C28" s="16" t="s">
        <v>50</v>
      </c>
      <c r="D28" s="32">
        <v>2.0099999999999998</v>
      </c>
      <c r="E28" s="15"/>
      <c r="F28" s="18">
        <f>10000*31</f>
        <v>310000</v>
      </c>
      <c r="G28" s="15"/>
      <c r="H28" s="32">
        <v>2.09</v>
      </c>
      <c r="I28" s="37">
        <f>SUM(D28-H28)*F28</f>
        <v>-24800.000000000022</v>
      </c>
      <c r="J28" s="40"/>
      <c r="K28" s="42">
        <f>+I28</f>
        <v>-24800.000000000022</v>
      </c>
    </row>
    <row r="29" spans="1:11" x14ac:dyDescent="0.25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-586400.00000000023</v>
      </c>
      <c r="J29" s="33">
        <f>SUM(J21:J28)</f>
        <v>-561600.00000000023</v>
      </c>
      <c r="K29" s="33">
        <f>SUM(K21:K28)</f>
        <v>-24800.000000000022</v>
      </c>
    </row>
    <row r="30" spans="1:1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40"/>
      <c r="K30" s="40"/>
    </row>
    <row r="31" spans="1:11" ht="13.8" thickBot="1" x14ac:dyDescent="0.3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308000.00000000035</v>
      </c>
      <c r="J31" s="34">
        <f>+J29+J17</f>
        <v>311100.00000000023</v>
      </c>
      <c r="K31" s="34">
        <f>+K29+K17</f>
        <v>-3099.9999999999345</v>
      </c>
    </row>
    <row r="32" spans="1:11" ht="13.8" thickTop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41"/>
      <c r="K32" s="41"/>
    </row>
    <row r="34" spans="1:1" x14ac:dyDescent="0.25">
      <c r="A34" s="29" t="s">
        <v>58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bestFit="1" customWidth="1"/>
    <col min="10" max="10" width="13.44140625" customWidth="1"/>
    <col min="11" max="11" width="15" bestFit="1" customWidth="1"/>
  </cols>
  <sheetData>
    <row r="1" spans="1:11" s="2" customFormat="1" ht="15.6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5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5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5">
      <c r="A9" s="31">
        <v>36526</v>
      </c>
      <c r="B9" s="15"/>
      <c r="C9" s="16" t="s">
        <v>41</v>
      </c>
      <c r="D9" s="32">
        <v>2.3650000000000002</v>
      </c>
      <c r="E9" s="15"/>
      <c r="F9" s="18">
        <f>-15000*31</f>
        <v>-465000</v>
      </c>
      <c r="G9" s="32"/>
      <c r="H9" s="32">
        <f>+[1]Sheet1!$F29</f>
        <v>2.2050000000000001</v>
      </c>
      <c r="I9" s="17">
        <f>SUM(D9-H9)*F9</f>
        <v>-74400.000000000073</v>
      </c>
      <c r="J9" s="42"/>
      <c r="K9" s="42">
        <f>+I9</f>
        <v>-74400.000000000073</v>
      </c>
    </row>
    <row r="10" spans="1:11" x14ac:dyDescent="0.25">
      <c r="A10" s="31">
        <v>36557</v>
      </c>
      <c r="B10" s="15"/>
      <c r="C10" s="16" t="s">
        <v>41</v>
      </c>
      <c r="D10" s="32">
        <v>2.3650000000000002</v>
      </c>
      <c r="E10" s="15"/>
      <c r="F10" s="18">
        <f>-15000*29</f>
        <v>-435000</v>
      </c>
      <c r="G10" s="32"/>
      <c r="H10" s="32">
        <f>+[1]Sheet1!$F30</f>
        <v>2.2119999999999997</v>
      </c>
      <c r="I10" s="17">
        <f t="shared" ref="I10:I20" si="0">SUM(D10-H10)*F10</f>
        <v>-66555.000000000204</v>
      </c>
      <c r="J10" s="42"/>
      <c r="K10" s="42">
        <f t="shared" ref="K10:K20" si="1">+I10</f>
        <v>-66555.000000000204</v>
      </c>
    </row>
    <row r="11" spans="1:11" x14ac:dyDescent="0.25">
      <c r="A11" s="31">
        <v>36586</v>
      </c>
      <c r="B11" s="15"/>
      <c r="C11" s="16" t="s">
        <v>41</v>
      </c>
      <c r="D11" s="32">
        <v>2.3650000000000002</v>
      </c>
      <c r="E11" s="15"/>
      <c r="F11" s="18">
        <f t="shared" ref="F11:F20" si="2">-15000*31</f>
        <v>-465000</v>
      </c>
      <c r="G11" s="15"/>
      <c r="H11" s="32">
        <f>+[1]Sheet1!$F31</f>
        <v>2.1949999999999994</v>
      </c>
      <c r="I11" s="17">
        <f t="shared" si="0"/>
        <v>-79050.000000000378</v>
      </c>
      <c r="J11" s="40"/>
      <c r="K11" s="42">
        <f t="shared" si="1"/>
        <v>-79050.000000000378</v>
      </c>
    </row>
    <row r="12" spans="1:11" x14ac:dyDescent="0.25">
      <c r="A12" s="31">
        <v>36617</v>
      </c>
      <c r="B12" s="15"/>
      <c r="C12" s="16" t="s">
        <v>41</v>
      </c>
      <c r="D12" s="32">
        <v>2.3650000000000002</v>
      </c>
      <c r="E12" s="15"/>
      <c r="F12" s="18">
        <f>-15000*30</f>
        <v>-450000</v>
      </c>
      <c r="G12" s="15"/>
      <c r="H12" s="32">
        <f>+[1]Sheet1!$F32</f>
        <v>2.1749999999999998</v>
      </c>
      <c r="I12" s="17">
        <f t="shared" si="0"/>
        <v>-85500.000000000175</v>
      </c>
      <c r="J12" s="40"/>
      <c r="K12" s="42">
        <f t="shared" si="1"/>
        <v>-85500.000000000175</v>
      </c>
    </row>
    <row r="13" spans="1:11" x14ac:dyDescent="0.25">
      <c r="A13" s="31">
        <v>36647</v>
      </c>
      <c r="B13" s="15"/>
      <c r="C13" s="16" t="s">
        <v>41</v>
      </c>
      <c r="D13" s="32">
        <v>2.3650000000000002</v>
      </c>
      <c r="E13" s="15"/>
      <c r="F13" s="18">
        <f t="shared" si="2"/>
        <v>-465000</v>
      </c>
      <c r="G13" s="15"/>
      <c r="H13" s="32">
        <f>+[1]Sheet1!$F33</f>
        <v>2.1919999999999997</v>
      </c>
      <c r="I13" s="17">
        <f t="shared" si="0"/>
        <v>-80445.000000000233</v>
      </c>
      <c r="J13" s="40"/>
      <c r="K13" s="42">
        <f t="shared" si="1"/>
        <v>-80445.000000000233</v>
      </c>
    </row>
    <row r="14" spans="1:11" x14ac:dyDescent="0.25">
      <c r="A14" s="31">
        <v>36678</v>
      </c>
      <c r="B14" s="15"/>
      <c r="C14" s="16" t="s">
        <v>41</v>
      </c>
      <c r="D14" s="32">
        <v>2.3650000000000002</v>
      </c>
      <c r="E14" s="15"/>
      <c r="F14" s="18">
        <f>-15000*30</f>
        <v>-450000</v>
      </c>
      <c r="G14" s="15"/>
      <c r="H14" s="32">
        <f>+[1]Sheet1!$F34</f>
        <v>2.2149999999999999</v>
      </c>
      <c r="I14" s="17">
        <f t="shared" si="0"/>
        <v>-67500.00000000016</v>
      </c>
      <c r="J14" s="40"/>
      <c r="K14" s="42">
        <f t="shared" si="1"/>
        <v>-67500.00000000016</v>
      </c>
    </row>
    <row r="15" spans="1:11" x14ac:dyDescent="0.25">
      <c r="A15" s="31">
        <v>36708</v>
      </c>
      <c r="B15" s="15"/>
      <c r="C15" s="16" t="s">
        <v>41</v>
      </c>
      <c r="D15" s="32">
        <v>2.3650000000000002</v>
      </c>
      <c r="E15" s="15"/>
      <c r="F15" s="18">
        <f t="shared" si="2"/>
        <v>-465000</v>
      </c>
      <c r="G15" s="15"/>
      <c r="H15" s="32">
        <f>+[1]Sheet1!$F35</f>
        <v>2.238</v>
      </c>
      <c r="I15" s="17">
        <f t="shared" si="0"/>
        <v>-59055.000000000102</v>
      </c>
      <c r="J15" s="40"/>
      <c r="K15" s="42">
        <f t="shared" si="1"/>
        <v>-59055.000000000102</v>
      </c>
    </row>
    <row r="16" spans="1:11" x14ac:dyDescent="0.25">
      <c r="A16" s="31">
        <v>36739</v>
      </c>
      <c r="B16" s="15"/>
      <c r="C16" s="16" t="s">
        <v>41</v>
      </c>
      <c r="D16" s="32">
        <v>2.3650000000000002</v>
      </c>
      <c r="E16" s="15"/>
      <c r="F16" s="18">
        <f t="shared" si="2"/>
        <v>-465000</v>
      </c>
      <c r="G16" s="15"/>
      <c r="H16" s="32">
        <f>+[1]Sheet1!$F36</f>
        <v>2.2599999999999998</v>
      </c>
      <c r="I16" s="17">
        <f t="shared" si="0"/>
        <v>-48825.000000000196</v>
      </c>
      <c r="J16" s="40"/>
      <c r="K16" s="42">
        <f t="shared" si="1"/>
        <v>-48825.000000000196</v>
      </c>
    </row>
    <row r="17" spans="1:11" x14ac:dyDescent="0.25">
      <c r="A17" s="31">
        <v>36770</v>
      </c>
      <c r="B17" s="15"/>
      <c r="C17" s="16" t="s">
        <v>41</v>
      </c>
      <c r="D17" s="32">
        <v>2.3650000000000002</v>
      </c>
      <c r="E17" s="15"/>
      <c r="F17" s="18">
        <f>-15000*30</f>
        <v>-450000</v>
      </c>
      <c r="G17" s="15"/>
      <c r="H17" s="32">
        <f>+[1]Sheet1!$F37</f>
        <v>2.2869999999999999</v>
      </c>
      <c r="I17" s="17">
        <f t="shared" si="0"/>
        <v>-35100.000000000131</v>
      </c>
      <c r="J17" s="40"/>
      <c r="K17" s="42">
        <f t="shared" si="1"/>
        <v>-35100.000000000131</v>
      </c>
    </row>
    <row r="18" spans="1:11" x14ac:dyDescent="0.25">
      <c r="A18" s="31">
        <v>36800</v>
      </c>
      <c r="B18" s="15"/>
      <c r="C18" s="16" t="s">
        <v>41</v>
      </c>
      <c r="D18" s="32">
        <v>2.3650000000000002</v>
      </c>
      <c r="E18" s="15"/>
      <c r="F18" s="18">
        <f t="shared" si="2"/>
        <v>-465000</v>
      </c>
      <c r="G18" s="15"/>
      <c r="H18" s="32">
        <f>+[1]Sheet1!$F38</f>
        <v>2.319</v>
      </c>
      <c r="I18" s="17">
        <f t="shared" si="0"/>
        <v>-21390.000000000124</v>
      </c>
      <c r="J18" s="40"/>
      <c r="K18" s="42">
        <f t="shared" si="1"/>
        <v>-21390.000000000124</v>
      </c>
    </row>
    <row r="19" spans="1:11" x14ac:dyDescent="0.25">
      <c r="A19" s="31">
        <v>36831</v>
      </c>
      <c r="B19" s="15"/>
      <c r="C19" s="16" t="s">
        <v>41</v>
      </c>
      <c r="D19" s="32">
        <v>2.3650000000000002</v>
      </c>
      <c r="E19" s="15"/>
      <c r="F19" s="18">
        <f>-15000*30</f>
        <v>-450000</v>
      </c>
      <c r="G19" s="15"/>
      <c r="H19" s="32">
        <f>+[1]Sheet1!$F39</f>
        <v>2.4219999999999997</v>
      </c>
      <c r="I19" s="17">
        <f t="shared" si="0"/>
        <v>25649.999999999774</v>
      </c>
      <c r="J19" s="40"/>
      <c r="K19" s="42">
        <f t="shared" si="1"/>
        <v>25649.999999999774</v>
      </c>
    </row>
    <row r="20" spans="1:11" x14ac:dyDescent="0.25">
      <c r="A20" s="31">
        <v>36861</v>
      </c>
      <c r="B20" s="15"/>
      <c r="C20" s="16" t="s">
        <v>41</v>
      </c>
      <c r="D20" s="32">
        <v>2.3650000000000002</v>
      </c>
      <c r="E20" s="15"/>
      <c r="F20" s="18">
        <f t="shared" si="2"/>
        <v>-465000</v>
      </c>
      <c r="G20" s="15"/>
      <c r="H20" s="32">
        <f>+[1]Sheet1!$F40</f>
        <v>2.5599999999999996</v>
      </c>
      <c r="I20" s="17">
        <f t="shared" si="0"/>
        <v>90674.999999999724</v>
      </c>
      <c r="J20" s="40"/>
      <c r="K20" s="42">
        <f t="shared" si="1"/>
        <v>90674.999999999724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40"/>
      <c r="K21" s="42"/>
    </row>
    <row r="22" spans="1:11" x14ac:dyDescent="0.25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-501495.00000000227</v>
      </c>
      <c r="J22" s="35">
        <f>SUM(J9:J20)</f>
        <v>0</v>
      </c>
      <c r="K22" s="35">
        <f>SUM(K9:K20)</f>
        <v>-501495.00000000227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5"/>
      <c r="J23" s="48"/>
      <c r="K23" s="48"/>
    </row>
    <row r="24" spans="1:11" x14ac:dyDescent="0.25">
      <c r="A24" s="15"/>
      <c r="B24" s="15"/>
      <c r="C24" s="15"/>
      <c r="D24" s="15"/>
      <c r="E24" s="15"/>
      <c r="F24" s="15"/>
      <c r="G24" s="51" t="s">
        <v>71</v>
      </c>
      <c r="H24" s="36"/>
      <c r="I24" s="15"/>
      <c r="J24" s="40"/>
      <c r="K24" s="40"/>
    </row>
    <row r="25" spans="1:11" x14ac:dyDescent="0.25">
      <c r="A25" s="15"/>
      <c r="B25" s="15"/>
      <c r="C25" s="15"/>
      <c r="D25" s="32"/>
      <c r="E25" s="15"/>
      <c r="F25" s="15"/>
      <c r="G25" s="50"/>
      <c r="H25" s="36"/>
      <c r="I25" s="15"/>
      <c r="J25" s="40"/>
      <c r="K25" s="40"/>
    </row>
    <row r="26" spans="1:11" x14ac:dyDescent="0.25">
      <c r="A26" s="31">
        <v>36526</v>
      </c>
      <c r="B26" s="15"/>
      <c r="C26" s="16" t="s">
        <v>50</v>
      </c>
      <c r="D26" s="32">
        <v>2.3650000000000002</v>
      </c>
      <c r="E26" s="15"/>
      <c r="F26" s="18">
        <f>15000*31</f>
        <v>465000</v>
      </c>
      <c r="G26" s="32"/>
      <c r="H26" s="71">
        <f>+[1]Sheet1!$R9</f>
        <v>2.1983333333333333</v>
      </c>
      <c r="I26" s="17">
        <f>SUM(D26-H26)*F26</f>
        <v>77500.000000000131</v>
      </c>
      <c r="J26" s="42"/>
      <c r="K26" s="42">
        <f>+I26</f>
        <v>77500.000000000131</v>
      </c>
    </row>
    <row r="27" spans="1:11" x14ac:dyDescent="0.25">
      <c r="A27" s="31">
        <v>36557</v>
      </c>
      <c r="B27" s="15"/>
      <c r="C27" s="16" t="s">
        <v>50</v>
      </c>
      <c r="D27" s="32">
        <v>2.3650000000000002</v>
      </c>
      <c r="E27" s="15"/>
      <c r="F27" s="18">
        <f>15000*29</f>
        <v>435000</v>
      </c>
      <c r="G27" s="32"/>
      <c r="H27" s="71">
        <f>+[1]Sheet1!$R10</f>
        <v>2.202</v>
      </c>
      <c r="I27" s="17">
        <f t="shared" ref="I27:I37" si="3">SUM(D27-H27)*F27</f>
        <v>70905.000000000116</v>
      </c>
      <c r="J27" s="42"/>
      <c r="K27" s="42">
        <f t="shared" ref="K27:K37" si="4">+I27</f>
        <v>70905.000000000116</v>
      </c>
    </row>
    <row r="28" spans="1:11" x14ac:dyDescent="0.25">
      <c r="A28" s="31">
        <v>36586</v>
      </c>
      <c r="B28" s="15"/>
      <c r="C28" s="16" t="s">
        <v>50</v>
      </c>
      <c r="D28" s="32">
        <v>2.3650000000000002</v>
      </c>
      <c r="E28" s="15"/>
      <c r="F28" s="18">
        <f>15000*31</f>
        <v>465000</v>
      </c>
      <c r="G28" s="15"/>
      <c r="H28" s="71">
        <f>+[1]Sheet1!$R11</f>
        <v>2.1799999999999997</v>
      </c>
      <c r="I28" s="17">
        <f t="shared" si="3"/>
        <v>86025.000000000233</v>
      </c>
      <c r="J28" s="40"/>
      <c r="K28" s="42">
        <f t="shared" si="4"/>
        <v>86025.000000000233</v>
      </c>
    </row>
    <row r="29" spans="1:11" x14ac:dyDescent="0.25">
      <c r="A29" s="31">
        <v>36617</v>
      </c>
      <c r="B29" s="15"/>
      <c r="C29" s="16" t="s">
        <v>50</v>
      </c>
      <c r="D29" s="32">
        <v>2.3650000000000002</v>
      </c>
      <c r="E29" s="15"/>
      <c r="F29" s="18">
        <f>15000*30</f>
        <v>450000</v>
      </c>
      <c r="G29" s="15"/>
      <c r="H29" s="71">
        <f>+[1]Sheet1!$R12</f>
        <v>2.1243333333333334</v>
      </c>
      <c r="I29" s="17">
        <f t="shared" si="3"/>
        <v>108300.00000000006</v>
      </c>
      <c r="J29" s="40"/>
      <c r="K29" s="42">
        <f t="shared" si="4"/>
        <v>108300.00000000006</v>
      </c>
    </row>
    <row r="30" spans="1:11" x14ac:dyDescent="0.25">
      <c r="A30" s="31">
        <v>36647</v>
      </c>
      <c r="B30" s="15"/>
      <c r="C30" s="16" t="s">
        <v>50</v>
      </c>
      <c r="D30" s="32">
        <v>2.3650000000000002</v>
      </c>
      <c r="E30" s="15"/>
      <c r="F30" s="18">
        <f>15000*31</f>
        <v>465000</v>
      </c>
      <c r="G30" s="15"/>
      <c r="H30" s="71">
        <f>+[1]Sheet1!$R13</f>
        <v>2.1413333333333333</v>
      </c>
      <c r="I30" s="17">
        <f t="shared" si="3"/>
        <v>104005.00000000012</v>
      </c>
      <c r="J30" s="40"/>
      <c r="K30" s="42">
        <f t="shared" si="4"/>
        <v>104005.00000000012</v>
      </c>
    </row>
    <row r="31" spans="1:11" x14ac:dyDescent="0.25">
      <c r="A31" s="31">
        <v>36678</v>
      </c>
      <c r="B31" s="15"/>
      <c r="C31" s="16" t="s">
        <v>50</v>
      </c>
      <c r="D31" s="32">
        <v>2.3650000000000002</v>
      </c>
      <c r="E31" s="15"/>
      <c r="F31" s="18">
        <f>15000*30</f>
        <v>450000</v>
      </c>
      <c r="G31" s="15"/>
      <c r="H31" s="71">
        <f>+[1]Sheet1!$R14</f>
        <v>2.1643333333333334</v>
      </c>
      <c r="I31" s="17">
        <f t="shared" si="3"/>
        <v>90300.000000000044</v>
      </c>
      <c r="J31" s="40"/>
      <c r="K31" s="42">
        <f t="shared" si="4"/>
        <v>90300.000000000044</v>
      </c>
    </row>
    <row r="32" spans="1:11" x14ac:dyDescent="0.25">
      <c r="A32" s="31">
        <v>36708</v>
      </c>
      <c r="B32" s="15"/>
      <c r="C32" s="16" t="s">
        <v>50</v>
      </c>
      <c r="D32" s="32">
        <v>2.3650000000000002</v>
      </c>
      <c r="E32" s="15"/>
      <c r="F32" s="18">
        <f>15000*31</f>
        <v>465000</v>
      </c>
      <c r="G32" s="15"/>
      <c r="H32" s="71">
        <f>+[1]Sheet1!$R15</f>
        <v>2.1973333333333334</v>
      </c>
      <c r="I32" s="17">
        <f t="shared" si="3"/>
        <v>77965.000000000087</v>
      </c>
      <c r="J32" s="40"/>
      <c r="K32" s="42">
        <f t="shared" si="4"/>
        <v>77965.000000000087</v>
      </c>
    </row>
    <row r="33" spans="1:11" x14ac:dyDescent="0.25">
      <c r="A33" s="31">
        <v>36739</v>
      </c>
      <c r="B33" s="15"/>
      <c r="C33" s="16" t="s">
        <v>50</v>
      </c>
      <c r="D33" s="32">
        <v>2.3650000000000002</v>
      </c>
      <c r="E33" s="15"/>
      <c r="F33" s="18">
        <f>15000*31</f>
        <v>465000</v>
      </c>
      <c r="G33" s="15"/>
      <c r="H33" s="71">
        <f>+[1]Sheet1!$R16</f>
        <v>2.2193333333333336</v>
      </c>
      <c r="I33" s="17">
        <f t="shared" si="3"/>
        <v>67734.999999999971</v>
      </c>
      <c r="J33" s="40"/>
      <c r="K33" s="42">
        <f t="shared" si="4"/>
        <v>67734.999999999971</v>
      </c>
    </row>
    <row r="34" spans="1:11" x14ac:dyDescent="0.25">
      <c r="A34" s="31">
        <v>36770</v>
      </c>
      <c r="B34" s="15"/>
      <c r="C34" s="16" t="s">
        <v>50</v>
      </c>
      <c r="D34" s="32">
        <v>2.3650000000000002</v>
      </c>
      <c r="E34" s="15"/>
      <c r="F34" s="18">
        <f>15000*30</f>
        <v>450000</v>
      </c>
      <c r="G34" s="15"/>
      <c r="H34" s="71">
        <f>+[1]Sheet1!$R17</f>
        <v>2.2463333333333337</v>
      </c>
      <c r="I34" s="17">
        <f t="shared" si="3"/>
        <v>53399.999999999913</v>
      </c>
      <c r="J34" s="40"/>
      <c r="K34" s="42">
        <f t="shared" si="4"/>
        <v>53399.999999999913</v>
      </c>
    </row>
    <row r="35" spans="1:11" x14ac:dyDescent="0.25">
      <c r="A35" s="31">
        <v>36800</v>
      </c>
      <c r="B35" s="15"/>
      <c r="C35" s="16" t="s">
        <v>50</v>
      </c>
      <c r="D35" s="32">
        <v>2.3650000000000002</v>
      </c>
      <c r="E35" s="15"/>
      <c r="F35" s="18">
        <f>15000*31</f>
        <v>465000</v>
      </c>
      <c r="G35" s="15"/>
      <c r="H35" s="71">
        <f>+[1]Sheet1!$R18</f>
        <v>2.2683333333333335</v>
      </c>
      <c r="I35" s="17">
        <f t="shared" si="3"/>
        <v>44950.000000000007</v>
      </c>
      <c r="J35" s="40"/>
      <c r="K35" s="42">
        <f t="shared" si="4"/>
        <v>44950.000000000007</v>
      </c>
    </row>
    <row r="36" spans="1:11" x14ac:dyDescent="0.25">
      <c r="A36" s="31">
        <v>36831</v>
      </c>
      <c r="B36" s="15"/>
      <c r="C36" s="16" t="s">
        <v>50</v>
      </c>
      <c r="D36" s="32">
        <v>2.3650000000000002</v>
      </c>
      <c r="E36" s="15"/>
      <c r="F36" s="18">
        <f>15000*30</f>
        <v>450000</v>
      </c>
      <c r="G36" s="15"/>
      <c r="H36" s="71">
        <f>+[1]Sheet1!$R19</f>
        <v>2.3370000000000002</v>
      </c>
      <c r="I36" s="17">
        <f t="shared" si="3"/>
        <v>12600.000000000011</v>
      </c>
      <c r="J36" s="40"/>
      <c r="K36" s="42">
        <f t="shared" si="4"/>
        <v>12600.000000000011</v>
      </c>
    </row>
    <row r="37" spans="1:11" x14ac:dyDescent="0.25">
      <c r="A37" s="31">
        <v>36861</v>
      </c>
      <c r="B37" s="15"/>
      <c r="C37" s="16" t="s">
        <v>50</v>
      </c>
      <c r="D37" s="32">
        <v>2.3650000000000002</v>
      </c>
      <c r="E37" s="15"/>
      <c r="F37" s="18">
        <f>15000*31</f>
        <v>465000</v>
      </c>
      <c r="G37" s="15"/>
      <c r="H37" s="71">
        <f>+[1]Sheet1!$R20</f>
        <v>2.4796666666666667</v>
      </c>
      <c r="I37" s="17">
        <f t="shared" si="3"/>
        <v>-53319.999999999913</v>
      </c>
      <c r="J37" s="40"/>
      <c r="K37" s="42">
        <f t="shared" si="4"/>
        <v>-53319.999999999913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40"/>
      <c r="K38" s="42"/>
    </row>
    <row r="39" spans="1:11" x14ac:dyDescent="0.25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740365.00000000081</v>
      </c>
      <c r="J39" s="33">
        <f>SUM(J26:J38)</f>
        <v>0</v>
      </c>
      <c r="K39" s="33">
        <f>SUM(K26:K38)</f>
        <v>740365.00000000081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40"/>
      <c r="K40" s="40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238869.99999999854</v>
      </c>
      <c r="J41" s="34">
        <f>+J39+J22</f>
        <v>0</v>
      </c>
      <c r="K41" s="34">
        <f>+K39+K22</f>
        <v>238869.99999999854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1"/>
      <c r="K42" s="41"/>
    </row>
    <row r="44" spans="1:11" x14ac:dyDescent="0.25">
      <c r="A44" s="29" t="s">
        <v>58</v>
      </c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4.44140625" customWidth="1"/>
    <col min="10" max="10" width="13.44140625" customWidth="1"/>
    <col min="11" max="11" width="14.44140625" customWidth="1"/>
  </cols>
  <sheetData>
    <row r="1" spans="1:11" s="2" customFormat="1" ht="15.6" x14ac:dyDescent="0.3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5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5">
      <c r="A8" s="11"/>
      <c r="B8" s="12"/>
      <c r="C8" s="12"/>
      <c r="D8" s="12"/>
      <c r="E8" s="12"/>
      <c r="F8" s="12"/>
      <c r="G8" s="52" t="s">
        <v>96</v>
      </c>
      <c r="H8" s="13"/>
      <c r="I8" s="68" t="s">
        <v>33</v>
      </c>
      <c r="J8" s="68" t="s">
        <v>33</v>
      </c>
      <c r="K8" s="69" t="s">
        <v>33</v>
      </c>
    </row>
    <row r="9" spans="1:11" x14ac:dyDescent="0.25">
      <c r="A9" s="31">
        <v>37408</v>
      </c>
      <c r="B9" s="15"/>
      <c r="C9" s="16" t="s">
        <v>97</v>
      </c>
      <c r="D9" s="32">
        <v>2.2160000000000002</v>
      </c>
      <c r="E9" s="15"/>
      <c r="F9" s="18">
        <v>2000000</v>
      </c>
      <c r="G9" s="32"/>
      <c r="H9" s="32">
        <f>+[1]Elpaso!$F9-0.05</f>
        <v>2.2689999999999997</v>
      </c>
      <c r="I9" s="17">
        <f>SUM(D9-H9)*F9</f>
        <v>-105999.99999999898</v>
      </c>
      <c r="J9" s="42"/>
      <c r="K9" s="42">
        <f>+I9</f>
        <v>-105999.99999999898</v>
      </c>
    </row>
    <row r="10" spans="1:11" x14ac:dyDescent="0.25">
      <c r="A10" s="31">
        <v>37438</v>
      </c>
      <c r="B10" s="15"/>
      <c r="C10" s="16" t="s">
        <v>97</v>
      </c>
      <c r="D10" s="32">
        <v>2.2160000000000002</v>
      </c>
      <c r="E10" s="15"/>
      <c r="F10" s="18">
        <v>3000000</v>
      </c>
      <c r="G10" s="32"/>
      <c r="H10" s="32">
        <f>+[1]Elpaso!$F10-0.05</f>
        <v>2.2749999999999999</v>
      </c>
      <c r="I10" s="17">
        <f>SUM(D10-H10)*F10</f>
        <v>-176999.99999999916</v>
      </c>
      <c r="J10" s="42"/>
      <c r="K10" s="42">
        <f>+I10</f>
        <v>-176999.99999999916</v>
      </c>
    </row>
    <row r="11" spans="1:11" x14ac:dyDescent="0.25">
      <c r="A11" s="31">
        <v>37469</v>
      </c>
      <c r="B11" s="15"/>
      <c r="C11" s="16" t="s">
        <v>97</v>
      </c>
      <c r="D11" s="32">
        <v>2.2160000000000002</v>
      </c>
      <c r="E11" s="15"/>
      <c r="F11" s="18">
        <v>3000000</v>
      </c>
      <c r="G11" s="15"/>
      <c r="H11" s="32">
        <f>+[1]Elpaso!$F11-0.05</f>
        <v>2.282</v>
      </c>
      <c r="I11" s="17">
        <f>SUM(D11-H11)*F11</f>
        <v>-197999.99999999951</v>
      </c>
      <c r="J11" s="40"/>
      <c r="K11" s="42">
        <f>+I11</f>
        <v>-197999.99999999951</v>
      </c>
    </row>
    <row r="12" spans="1:11" x14ac:dyDescent="0.25">
      <c r="A12" s="31">
        <v>37500</v>
      </c>
      <c r="B12" s="15"/>
      <c r="C12" s="16" t="s">
        <v>97</v>
      </c>
      <c r="D12" s="32">
        <v>2.2160000000000002</v>
      </c>
      <c r="E12" s="15"/>
      <c r="F12" s="18">
        <v>3000000</v>
      </c>
      <c r="G12" s="15"/>
      <c r="H12" s="32">
        <f>+[1]Elpaso!$F12-0.05</f>
        <v>2.2959999999999998</v>
      </c>
      <c r="I12" s="17">
        <f>SUM(D12-H12)*F12</f>
        <v>-239999.99999999889</v>
      </c>
      <c r="J12" s="40"/>
      <c r="K12" s="42">
        <f>+I12</f>
        <v>-239999.99999999889</v>
      </c>
    </row>
    <row r="13" spans="1:11" x14ac:dyDescent="0.25">
      <c r="A13" s="31">
        <v>37530</v>
      </c>
      <c r="B13" s="15"/>
      <c r="C13" s="16" t="s">
        <v>97</v>
      </c>
      <c r="D13" s="32">
        <v>2.2160000000000002</v>
      </c>
      <c r="E13" s="15"/>
      <c r="F13" s="18">
        <v>4000000</v>
      </c>
      <c r="G13" s="15"/>
      <c r="H13" s="32">
        <f>+[1]Elpaso!$F13-0.05</f>
        <v>2.3430000000000004</v>
      </c>
      <c r="I13" s="17">
        <f>SUM(D13-H13)*F13</f>
        <v>-508000.00000000087</v>
      </c>
      <c r="J13" s="40"/>
      <c r="K13" s="42">
        <f>+I13</f>
        <v>-508000.00000000087</v>
      </c>
    </row>
    <row r="14" spans="1:11" x14ac:dyDescent="0.25">
      <c r="A14" s="31"/>
      <c r="B14" s="15"/>
      <c r="C14" s="16"/>
      <c r="D14" s="32"/>
      <c r="E14" s="15"/>
      <c r="F14" s="75"/>
      <c r="G14" s="15"/>
      <c r="H14" s="32"/>
      <c r="I14" s="76"/>
      <c r="J14" s="40"/>
      <c r="K14" s="77"/>
    </row>
    <row r="15" spans="1:11" x14ac:dyDescent="0.25">
      <c r="A15" s="31"/>
      <c r="B15" s="15"/>
      <c r="C15" s="16"/>
      <c r="D15" s="32"/>
      <c r="E15" s="15"/>
      <c r="F15" s="18">
        <f>SUM(F9:F14)</f>
        <v>15000000</v>
      </c>
      <c r="G15" s="15"/>
      <c r="H15" s="32"/>
      <c r="I15" s="17">
        <f>SUM(I9:I14)</f>
        <v>-1228999.9999999974</v>
      </c>
      <c r="J15" s="40"/>
      <c r="K15" s="17">
        <f>SUM(K9:K14)</f>
        <v>-1228999.9999999974</v>
      </c>
    </row>
    <row r="16" spans="1:11" x14ac:dyDescent="0.25">
      <c r="A16" s="31"/>
      <c r="B16" s="15"/>
      <c r="C16" s="16"/>
      <c r="D16" s="32"/>
      <c r="E16" s="15"/>
      <c r="F16" s="18"/>
      <c r="G16" s="15"/>
      <c r="H16" s="32"/>
      <c r="I16" s="17"/>
      <c r="J16" s="40"/>
      <c r="K16" s="19"/>
    </row>
    <row r="17" spans="1:11" x14ac:dyDescent="0.25">
      <c r="A17" s="31">
        <v>37408</v>
      </c>
      <c r="B17" s="15"/>
      <c r="C17" s="16"/>
      <c r="D17" s="32">
        <v>2.2160000000000002</v>
      </c>
      <c r="E17" s="15"/>
      <c r="F17" s="18">
        <v>-2000000</v>
      </c>
      <c r="G17" s="15"/>
      <c r="H17" s="32">
        <f>+[1]Elpaso!$F9-0.05</f>
        <v>2.2689999999999997</v>
      </c>
      <c r="I17" s="17">
        <f>SUM(D17-H17)*F17</f>
        <v>105999.99999999898</v>
      </c>
      <c r="J17" s="40"/>
      <c r="K17" s="42">
        <f>+I17</f>
        <v>105999.99999999898</v>
      </c>
    </row>
    <row r="18" spans="1:11" x14ac:dyDescent="0.25">
      <c r="A18" s="31">
        <v>37438</v>
      </c>
      <c r="B18" s="15"/>
      <c r="C18" s="16"/>
      <c r="D18" s="32">
        <v>2.2160000000000002</v>
      </c>
      <c r="E18" s="15"/>
      <c r="F18" s="18">
        <v>-3000000</v>
      </c>
      <c r="G18" s="15"/>
      <c r="H18" s="32">
        <f>+[1]Elpaso!$F10-0.05</f>
        <v>2.2749999999999999</v>
      </c>
      <c r="I18" s="17">
        <f>SUM(D18-H18)*F18</f>
        <v>176999.99999999916</v>
      </c>
      <c r="J18" s="40"/>
      <c r="K18" s="42">
        <f>+I18</f>
        <v>176999.99999999916</v>
      </c>
    </row>
    <row r="19" spans="1:11" x14ac:dyDescent="0.25">
      <c r="A19" s="31">
        <v>37469</v>
      </c>
      <c r="B19" s="15"/>
      <c r="C19" s="16"/>
      <c r="D19" s="32">
        <v>2.2160000000000002</v>
      </c>
      <c r="E19" s="15"/>
      <c r="F19" s="18">
        <v>-3000000</v>
      </c>
      <c r="G19" s="15"/>
      <c r="H19" s="32">
        <f>+[1]Elpaso!$F11-0.05</f>
        <v>2.282</v>
      </c>
      <c r="I19" s="17">
        <f>SUM(D19-H19)*F19</f>
        <v>197999.99999999951</v>
      </c>
      <c r="J19" s="40"/>
      <c r="K19" s="42">
        <f>+I19</f>
        <v>197999.99999999951</v>
      </c>
    </row>
    <row r="20" spans="1:11" x14ac:dyDescent="0.25">
      <c r="A20" s="31">
        <v>37500</v>
      </c>
      <c r="B20" s="15"/>
      <c r="C20" s="16"/>
      <c r="D20" s="32">
        <v>2.2160000000000002</v>
      </c>
      <c r="E20" s="15"/>
      <c r="F20" s="18">
        <v>-3000000</v>
      </c>
      <c r="G20" s="15"/>
      <c r="H20" s="32">
        <f>+[1]Elpaso!$F12-0.05</f>
        <v>2.2959999999999998</v>
      </c>
      <c r="I20" s="17">
        <f>SUM(D20-H20)*F20</f>
        <v>239999.99999999889</v>
      </c>
      <c r="J20" s="40"/>
      <c r="K20" s="42">
        <f>+I20</f>
        <v>239999.99999999889</v>
      </c>
    </row>
    <row r="21" spans="1:11" x14ac:dyDescent="0.25">
      <c r="A21" s="31">
        <v>37530</v>
      </c>
      <c r="B21" s="15"/>
      <c r="C21" s="16"/>
      <c r="D21" s="32">
        <v>2.2160000000000002</v>
      </c>
      <c r="E21" s="15"/>
      <c r="F21" s="18">
        <v>-4000000</v>
      </c>
      <c r="G21" s="15"/>
      <c r="H21" s="32">
        <f>+[1]Elpaso!$F13-0.05</f>
        <v>2.3430000000000004</v>
      </c>
      <c r="I21" s="17">
        <f>SUM(D21-H21)*F21</f>
        <v>508000.00000000087</v>
      </c>
      <c r="J21" s="40"/>
      <c r="K21" s="42">
        <f>+I21</f>
        <v>508000.00000000087</v>
      </c>
    </row>
    <row r="22" spans="1:11" x14ac:dyDescent="0.25">
      <c r="A22" s="31"/>
      <c r="B22" s="15"/>
      <c r="C22" s="16"/>
      <c r="D22" s="32"/>
      <c r="E22" s="15"/>
      <c r="F22" s="75"/>
      <c r="G22" s="15"/>
      <c r="H22" s="32"/>
      <c r="I22" s="76"/>
      <c r="J22" s="40"/>
      <c r="K22" s="77"/>
    </row>
    <row r="23" spans="1:11" x14ac:dyDescent="0.25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1228999.9999999974</v>
      </c>
      <c r="J23" s="40"/>
      <c r="K23" s="17">
        <f>SUM(K17:K22)</f>
        <v>1228999.9999999974</v>
      </c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40"/>
      <c r="K24" s="19"/>
    </row>
    <row r="25" spans="1:11" ht="13.8" thickBot="1" x14ac:dyDescent="0.3">
      <c r="A25" s="31"/>
      <c r="B25" s="15"/>
      <c r="C25" s="16"/>
      <c r="D25" s="32"/>
      <c r="E25" s="15"/>
      <c r="F25" s="143">
        <f>+F23+F15</f>
        <v>0</v>
      </c>
      <c r="G25" s="15"/>
      <c r="H25" s="32"/>
      <c r="I25" s="144">
        <f>+I23+I15</f>
        <v>0</v>
      </c>
      <c r="J25" s="40"/>
      <c r="K25" s="144">
        <f>+K23+K15</f>
        <v>0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1"/>
      <c r="K26" s="41"/>
    </row>
    <row r="28" spans="1:11" x14ac:dyDescent="0.25">
      <c r="A28" s="29" t="s">
        <v>58</v>
      </c>
    </row>
  </sheetData>
  <pageMargins left="0.75" right="0.75" top="1" bottom="1" header="0.5" footer="0.5"/>
  <pageSetup scale="9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2.5546875" bestFit="1" customWidth="1"/>
    <col min="9" max="9" width="14.44140625" customWidth="1"/>
    <col min="10" max="10" width="13.44140625" customWidth="1"/>
    <col min="11" max="11" width="14.44140625" customWidth="1"/>
  </cols>
  <sheetData>
    <row r="1" spans="1:11" s="2" customFormat="1" ht="15.6" x14ac:dyDescent="0.3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50" t="s">
        <v>109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21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5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5">
      <c r="A8" s="11"/>
      <c r="B8" s="12"/>
      <c r="C8" s="12"/>
      <c r="D8" s="12"/>
      <c r="E8" s="12"/>
      <c r="F8" s="12"/>
      <c r="G8" s="52" t="s">
        <v>111</v>
      </c>
      <c r="H8" s="52" t="s">
        <v>111</v>
      </c>
      <c r="I8" s="68" t="s">
        <v>33</v>
      </c>
      <c r="J8" s="68" t="s">
        <v>33</v>
      </c>
      <c r="K8" s="69" t="s">
        <v>33</v>
      </c>
    </row>
    <row r="9" spans="1:11" x14ac:dyDescent="0.25">
      <c r="A9" s="31">
        <v>36465</v>
      </c>
      <c r="B9" s="15">
        <v>105706</v>
      </c>
      <c r="C9" s="16" t="s">
        <v>110</v>
      </c>
      <c r="D9" s="32"/>
      <c r="E9" s="15"/>
      <c r="F9" s="18">
        <v>40000</v>
      </c>
      <c r="G9" s="32">
        <v>3.04</v>
      </c>
      <c r="H9" s="32"/>
      <c r="I9" s="17">
        <f>+G9*F9</f>
        <v>121600</v>
      </c>
      <c r="J9" s="42">
        <f>+I9</f>
        <v>121600</v>
      </c>
      <c r="K9" s="42"/>
    </row>
    <row r="10" spans="1:11" x14ac:dyDescent="0.25">
      <c r="A10" s="31">
        <v>36495</v>
      </c>
      <c r="B10" s="15">
        <v>105706</v>
      </c>
      <c r="C10" s="16" t="s">
        <v>110</v>
      </c>
      <c r="D10" s="32"/>
      <c r="E10" s="15"/>
      <c r="F10" s="18">
        <v>40000</v>
      </c>
      <c r="G10" s="32"/>
      <c r="H10" s="32">
        <v>2.11</v>
      </c>
      <c r="I10" s="17">
        <f>+F10*H10</f>
        <v>84400</v>
      </c>
      <c r="J10" s="42"/>
      <c r="K10" s="42">
        <f>+I10</f>
        <v>84400</v>
      </c>
    </row>
    <row r="11" spans="1:11" x14ac:dyDescent="0.25">
      <c r="A11" s="31">
        <v>36526</v>
      </c>
      <c r="B11" s="15">
        <v>105706</v>
      </c>
      <c r="C11" s="16" t="s">
        <v>110</v>
      </c>
      <c r="D11" s="32"/>
      <c r="E11" s="15"/>
      <c r="F11" s="18">
        <v>40000</v>
      </c>
      <c r="G11" s="15"/>
      <c r="H11" s="32">
        <f>+[1]Mec!$E13</f>
        <v>2.3395000000000001</v>
      </c>
      <c r="I11" s="17">
        <f>+F11*H11</f>
        <v>93580</v>
      </c>
      <c r="J11" s="40"/>
      <c r="K11" s="42">
        <f>+I11</f>
        <v>93580</v>
      </c>
    </row>
    <row r="12" spans="1:11" x14ac:dyDescent="0.25">
      <c r="A12" s="31">
        <v>36557</v>
      </c>
      <c r="B12" s="15">
        <v>105706</v>
      </c>
      <c r="C12" s="16" t="s">
        <v>110</v>
      </c>
      <c r="D12" s="32"/>
      <c r="E12" s="15"/>
      <c r="F12" s="18">
        <v>40000</v>
      </c>
      <c r="G12" s="15"/>
      <c r="H12" s="32">
        <f>+[1]Mec!$E14</f>
        <v>2.34</v>
      </c>
      <c r="I12" s="17">
        <f>+F12*H12</f>
        <v>93600</v>
      </c>
      <c r="J12" s="40"/>
      <c r="K12" s="42">
        <f>+I12</f>
        <v>93600</v>
      </c>
    </row>
    <row r="13" spans="1:11" x14ac:dyDescent="0.25">
      <c r="A13" s="31">
        <v>36586</v>
      </c>
      <c r="B13" s="15">
        <v>105706</v>
      </c>
      <c r="C13" s="16" t="s">
        <v>110</v>
      </c>
      <c r="D13" s="32"/>
      <c r="E13" s="15"/>
      <c r="F13" s="18">
        <v>40000</v>
      </c>
      <c r="G13" s="15"/>
      <c r="H13" s="32">
        <f>+[1]Mec!$E15</f>
        <v>2.2399999999999998</v>
      </c>
      <c r="I13" s="17">
        <f>+F13*H13</f>
        <v>89599.999999999985</v>
      </c>
      <c r="J13" s="40"/>
      <c r="K13" s="42">
        <f>+I13</f>
        <v>89599.999999999985</v>
      </c>
    </row>
    <row r="14" spans="1:11" x14ac:dyDescent="0.25">
      <c r="A14" s="31">
        <v>36617</v>
      </c>
      <c r="B14" s="15">
        <v>105706</v>
      </c>
      <c r="C14" s="16" t="s">
        <v>110</v>
      </c>
      <c r="D14" s="32"/>
      <c r="E14" s="15"/>
      <c r="F14" s="75">
        <v>30000</v>
      </c>
      <c r="G14" s="15"/>
      <c r="H14" s="32">
        <f>+[1]Mec!$E16</f>
        <v>2.2469999999999999</v>
      </c>
      <c r="I14" s="76">
        <f>+F14*H14</f>
        <v>67410</v>
      </c>
      <c r="J14" s="26"/>
      <c r="K14" s="77">
        <f>+I14</f>
        <v>67410</v>
      </c>
    </row>
    <row r="15" spans="1:11" x14ac:dyDescent="0.25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SUM(I8:I13)</f>
        <v>482780</v>
      </c>
      <c r="J15" s="17">
        <f>SUM(J8:J13)</f>
        <v>121600</v>
      </c>
      <c r="K15" s="17">
        <f>SUM(K8:K13)</f>
        <v>361180</v>
      </c>
    </row>
    <row r="16" spans="1:11" x14ac:dyDescent="0.25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1" x14ac:dyDescent="0.25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1" x14ac:dyDescent="0.25">
      <c r="A18" s="31"/>
      <c r="B18" s="15"/>
      <c r="C18" s="16"/>
      <c r="D18" s="32"/>
      <c r="E18" s="15"/>
      <c r="F18" s="18"/>
      <c r="G18" s="15"/>
      <c r="H18" s="145" t="s">
        <v>112</v>
      </c>
      <c r="I18" s="17"/>
      <c r="J18" s="40"/>
      <c r="K18" s="19"/>
    </row>
    <row r="19" spans="1:11" x14ac:dyDescent="0.25">
      <c r="A19" s="31"/>
      <c r="B19" s="15"/>
      <c r="C19" s="16"/>
      <c r="D19" s="32"/>
      <c r="E19" s="15"/>
      <c r="F19" s="18"/>
      <c r="G19" s="15"/>
      <c r="H19" s="32"/>
      <c r="I19" s="17"/>
      <c r="J19" s="40"/>
      <c r="K19" s="19"/>
    </row>
    <row r="20" spans="1:11" x14ac:dyDescent="0.25">
      <c r="A20" s="31">
        <v>36465</v>
      </c>
      <c r="B20" s="15">
        <v>105706</v>
      </c>
      <c r="C20" s="16" t="s">
        <v>110</v>
      </c>
      <c r="D20" s="32"/>
      <c r="E20" s="15"/>
      <c r="F20" s="18">
        <v>-40000</v>
      </c>
      <c r="G20" s="32">
        <v>3.1309999999999998</v>
      </c>
      <c r="H20" s="32"/>
      <c r="I20" s="17">
        <f>+G20*F20</f>
        <v>-125239.99999999999</v>
      </c>
      <c r="J20" s="42">
        <f>+I20</f>
        <v>-125239.99999999999</v>
      </c>
      <c r="K20" s="42"/>
    </row>
    <row r="21" spans="1:11" x14ac:dyDescent="0.25">
      <c r="A21" s="31">
        <v>36495</v>
      </c>
      <c r="B21" s="15">
        <v>105706</v>
      </c>
      <c r="C21" s="16" t="s">
        <v>110</v>
      </c>
      <c r="D21" s="32"/>
      <c r="E21" s="15"/>
      <c r="F21" s="18">
        <v>-40000</v>
      </c>
      <c r="G21" s="15"/>
      <c r="H21" s="32">
        <v>2.2000000000000002</v>
      </c>
      <c r="I21" s="17">
        <f>+H21*F21</f>
        <v>-88000</v>
      </c>
      <c r="J21" s="40"/>
      <c r="K21" s="42">
        <f>+I21</f>
        <v>-88000</v>
      </c>
    </row>
    <row r="22" spans="1:11" x14ac:dyDescent="0.25">
      <c r="A22" s="31">
        <v>36526</v>
      </c>
      <c r="B22" s="15">
        <v>105706</v>
      </c>
      <c r="C22" s="16" t="s">
        <v>110</v>
      </c>
      <c r="D22" s="32"/>
      <c r="E22" s="15"/>
      <c r="F22" s="18">
        <v>-40000</v>
      </c>
      <c r="G22" s="15"/>
      <c r="H22" s="32">
        <f>+[1]Mec!$E13</f>
        <v>2.3395000000000001</v>
      </c>
      <c r="I22" s="17">
        <f>+H22*F22</f>
        <v>-93580</v>
      </c>
      <c r="J22" s="40"/>
      <c r="K22" s="42">
        <f>+I22</f>
        <v>-93580</v>
      </c>
    </row>
    <row r="23" spans="1:11" x14ac:dyDescent="0.25">
      <c r="A23" s="31">
        <v>36557</v>
      </c>
      <c r="B23" s="15">
        <v>105706</v>
      </c>
      <c r="C23" s="16" t="s">
        <v>110</v>
      </c>
      <c r="D23" s="32"/>
      <c r="E23" s="15"/>
      <c r="F23" s="18">
        <v>-40000</v>
      </c>
      <c r="G23" s="15"/>
      <c r="H23" s="32">
        <f>+[1]Mec!$E14</f>
        <v>2.34</v>
      </c>
      <c r="I23" s="17">
        <f>+H23*F23</f>
        <v>-93600</v>
      </c>
      <c r="J23" s="40"/>
      <c r="K23" s="42">
        <f>+I23</f>
        <v>-93600</v>
      </c>
    </row>
    <row r="24" spans="1:11" x14ac:dyDescent="0.25">
      <c r="A24" s="31">
        <v>36586</v>
      </c>
      <c r="B24" s="15">
        <v>105706</v>
      </c>
      <c r="C24" s="16" t="s">
        <v>110</v>
      </c>
      <c r="D24" s="32"/>
      <c r="E24" s="15"/>
      <c r="F24" s="18">
        <v>-40000</v>
      </c>
      <c r="G24" s="15"/>
      <c r="H24" s="32">
        <f>+[1]Mec!$E15</f>
        <v>2.2399999999999998</v>
      </c>
      <c r="I24" s="17">
        <f>+H24*F24</f>
        <v>-89599.999999999985</v>
      </c>
      <c r="J24" s="40"/>
      <c r="K24" s="42">
        <f>+I24</f>
        <v>-89599.999999999985</v>
      </c>
    </row>
    <row r="25" spans="1:11" x14ac:dyDescent="0.25">
      <c r="A25" s="31">
        <v>36617</v>
      </c>
      <c r="B25" s="15">
        <v>105706</v>
      </c>
      <c r="C25" s="16" t="s">
        <v>110</v>
      </c>
      <c r="D25" s="32"/>
      <c r="E25" s="15"/>
      <c r="F25" s="75">
        <v>-30000</v>
      </c>
      <c r="G25" s="15"/>
      <c r="H25" s="32">
        <f>+[1]Mec!$E16</f>
        <v>2.2469999999999999</v>
      </c>
      <c r="I25" s="76">
        <f>+H25*F25</f>
        <v>-67410</v>
      </c>
      <c r="J25" s="26"/>
      <c r="K25" s="77">
        <f>+I25</f>
        <v>-67410</v>
      </c>
    </row>
    <row r="26" spans="1:11" x14ac:dyDescent="0.25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46">
        <f>SUM(I20:I25)</f>
        <v>-557430</v>
      </c>
      <c r="J26" s="146">
        <f>SUM(J20:J25)</f>
        <v>-125239.99999999999</v>
      </c>
      <c r="K26" s="146">
        <f>SUM(K20:K25)</f>
        <v>-432190</v>
      </c>
    </row>
    <row r="27" spans="1:11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40"/>
      <c r="K27" s="19"/>
    </row>
    <row r="28" spans="1:11" ht="13.8" thickBot="1" x14ac:dyDescent="0.3">
      <c r="A28" s="31"/>
      <c r="B28" s="15"/>
      <c r="C28" s="16"/>
      <c r="D28" s="32"/>
      <c r="E28" s="15"/>
      <c r="F28" s="143">
        <f>+F26+F15</f>
        <v>0</v>
      </c>
      <c r="G28" s="15"/>
      <c r="H28" s="32"/>
      <c r="I28" s="144">
        <f>+I26+I15</f>
        <v>-74650</v>
      </c>
      <c r="J28" s="144">
        <f>+J26+J15</f>
        <v>-3639.9999999999854</v>
      </c>
      <c r="K28" s="144">
        <f>+K26+K15</f>
        <v>-71010</v>
      </c>
    </row>
    <row r="29" spans="1:11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1"/>
      <c r="K29" s="41"/>
    </row>
    <row r="31" spans="1:11" x14ac:dyDescent="0.25">
      <c r="A31" s="29" t="s">
        <v>58</v>
      </c>
    </row>
  </sheetData>
  <mergeCells count="1">
    <mergeCell ref="A3:K3"/>
  </mergeCells>
  <pageMargins left="0.75" right="0.75" top="1" bottom="1" header="0.5" footer="0.5"/>
  <pageSetup scale="9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Avista_1</vt:lpstr>
      <vt:lpstr>Sempra_1</vt:lpstr>
      <vt:lpstr>Avista_2</vt:lpstr>
      <vt:lpstr>Sempra_2</vt:lpstr>
      <vt:lpstr>Sempra_2.1</vt:lpstr>
      <vt:lpstr>RMTC_2</vt:lpstr>
      <vt:lpstr>Elpaso_6</vt:lpstr>
      <vt:lpstr>MEC_8</vt:lpstr>
      <vt:lpstr>Open Positions (2)</vt:lpstr>
      <vt:lpstr>Avista_1!Print_Area</vt:lpstr>
      <vt:lpstr>Avista_2!Print_Area</vt:lpstr>
      <vt:lpstr>Sempra_1!Print_Area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1999-12-14T20:46:20Z</cp:lastPrinted>
  <dcterms:created xsi:type="dcterms:W3CDTF">1999-02-26T14:05:48Z</dcterms:created>
  <dcterms:modified xsi:type="dcterms:W3CDTF">2023-09-10T11:37:42Z</dcterms:modified>
</cp:coreProperties>
</file>