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<sst xmlns="http://schemas.openxmlformats.org/spreadsheetml/2006/main" count="434" uniqueCount="138">
  <si>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</si>
  <si>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</si>
  <si>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</si>
  <si>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</si>
  <si>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</si>
  <si>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</si>
  <si>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</si>
  <si>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</si>
  <si>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</si>
  <si>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</si>
  <si>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</si>
  <si>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</si>
  <si>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</si>
  <si>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</si>
  <si>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</si>
  <si>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</si>
  <si>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</si>
  <si>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</si>
  <si>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</si>
  <si>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</si>
  <si>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</si>
  <si>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</si>
  <si>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</si>
  <si>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</si>
  <si>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</si>
  <si>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</si>
  <si>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</si>
  <si>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</si>
  <si>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</si>
  <si>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</si>
  <si>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</si>
  <si>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</si>
  <si>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</si>
  <si>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</si>
  <si>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</si>
  <si>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</si>
  <si>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</si>
  <si>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</si>
  <si>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</si>
  <si>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</si>
  <si>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</si>
  <si>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</si>
  <si>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</si>
  <si>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</si>
  <si>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</si>
  <si>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</si>
  <si>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</si>
  <si>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</si>
  <si>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</si>
  <si>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</si>
  <si>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</si>
  <si>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</si>
  <si>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</si>
  <si>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</si>
  <si>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</si>
  <si>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</si>
  <si>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</si>
  <si>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</si>
  <si>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</si>
  <si>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</si>
  <si>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</si>
  <si>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</si>
  <si>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</si>
  <si>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</si>
  <si>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</si>
  <si>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</si>
  <si>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</si>
  <si>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</si>
  <si>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</si>
  <si>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</si>
  <si>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</si>
  <si>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</si>
  <si>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</si>
  <si>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</si>
  <si>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</si>
  <si>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</si>
  <si>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</si>
  <si>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</si>
  <si>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</si>
  <si>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</si>
  <si>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</si>
  <si>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</si>
  <si>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</si>
  <si>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</si>
  <si>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</si>
  <si>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</si>
  <si>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</si>
  <si>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</si>
  <si>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</si>
  <si>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</si>
  <si>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</si>
  <si>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</si>
  <si>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</si>
  <si>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</si>
  <si>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</si>
  <si>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</si>
  <si>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</si>
  <si>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</si>
  <si>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</si>
  <si>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</si>
  <si>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</si>
  <si>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</si>
  <si>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</si>
  <si>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</si>
  <si>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</si>
  <si>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</si>
  <si>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</si>
  <si>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</si>
  <si>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</si>
  <si>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</si>
  <si>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</si>
  <si>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</si>
  <si>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</si>
  <si>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</si>
  <si>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</si>
  <si>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</si>
  <si>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</si>
  <si>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</si>
  <si>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</si>
  <si>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</si>
  <si>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</si>
  <si>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</si>
  <si>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</si>
  <si>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</si>
  <si>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</si>
  <si>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</si>
  <si>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</si>
  <si>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</si>
  <si>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</si>
  <si>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</si>
  <si>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</si>
  <si>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</si>
  <si>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</si>
  <si>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</si>
  <si>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</si>
  <si>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</si>
  <si>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</si>
  <si>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May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</si>
</sst>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7620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812280" y="76200"/>
          <a:ext cx="21717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0</xdr:row>
      <xdr:rowOff>30480</xdr:rowOff>
    </xdr:from>
    <xdr:to>
      <xdr:col>21</xdr:col>
      <xdr:colOff>533400</xdr:colOff>
      <xdr:row>2</xdr:row>
      <xdr:rowOff>144780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955280" y="30480"/>
          <a:ext cx="11201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975860" y="236220"/>
          <a:ext cx="16383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</xdr:row>
      <xdr:rowOff>91440</xdr:rowOff>
    </xdr:from>
    <xdr:to>
      <xdr:col>15</xdr:col>
      <xdr:colOff>876300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86400" y="91440"/>
          <a:ext cx="16611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01-Global-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>
        <row r="9">
          <cell r="C9">
            <v>-70758</v>
          </cell>
          <cell r="G9">
            <v>17173.484</v>
          </cell>
        </row>
        <row r="10">
          <cell r="C10">
            <v>758.90705000000003</v>
          </cell>
          <cell r="G10">
            <v>9003.0159999999996</v>
          </cell>
        </row>
        <row r="11">
          <cell r="C11">
            <v>-1370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224</v>
          </cell>
          <cell r="G13">
            <v>3240.6319999999996</v>
          </cell>
        </row>
        <row r="14">
          <cell r="C14">
            <v>648</v>
          </cell>
          <cell r="G14">
            <v>3259.8140000000003</v>
          </cell>
        </row>
        <row r="15">
          <cell r="C15">
            <v>-10261</v>
          </cell>
          <cell r="G15">
            <v>6013.2449999999999</v>
          </cell>
        </row>
        <row r="16">
          <cell r="C16">
            <v>87.371319999999997</v>
          </cell>
          <cell r="G16">
            <v>4934.7109999999993</v>
          </cell>
        </row>
        <row r="17">
          <cell r="C17">
            <v>414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/>
      <sheetData sheetId="4">
        <row r="10">
          <cell r="D10">
            <v>-70758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600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-1370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224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648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-14058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4005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-336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161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67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5.6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6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-10966.839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-10966.839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-43804.372499999998</v>
      </c>
      <c r="P9" s="37"/>
      <c r="Q9" s="132">
        <f>+'Mgmt Summary'!Q9+'[3]Mgmt Summary'!Q9</f>
        <v>-83466.839000000007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-82581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13075.490379999999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13075.490379999999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-2689.4006200000003</v>
      </c>
      <c r="P10" s="37"/>
      <c r="Q10" s="132">
        <f>+'Mgmt Summary'!Q10+'[3]Mgmt Summary'!Q10</f>
        <v>-14424.509619999999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-13973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1959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1959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1234</v>
      </c>
      <c r="P11" s="37"/>
      <c r="Q11" s="132">
        <f>+'Mgmt Summary'!Q11+'[3]Mgmt Summary'!Q11</f>
        <v>-3041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-3041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10301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10301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4174.4369999999999</v>
      </c>
      <c r="P13" s="37"/>
      <c r="Q13" s="132">
        <f>+'Mgmt Summary'!Q13+'[3]Mgmt Summary'!Q13</f>
        <v>-5287.07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-4125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2579.0152800000001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2579.0152800000001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-2014.8177200000002</v>
      </c>
      <c r="P14" s="37"/>
      <c r="Q14" s="132">
        <f>+'Mgmt Summary'!Q14+'[3]Mgmt Summary'!Q14</f>
        <v>-14170.98472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-12889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8507.7569999999996</v>
      </c>
      <c r="H15" s="36">
        <f>GrossMargin!J16</f>
        <v>0</v>
      </c>
      <c r="I15" s="137">
        <f>+'Mgmt Summary'!I15+'[3]Mgmt Summary'!I15</f>
        <v>0</v>
      </c>
      <c r="J15" s="135">
        <f t="shared" si="1"/>
        <v>8507.7569999999996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-1323.0500000000002</v>
      </c>
      <c r="P15" s="37"/>
      <c r="Q15" s="132">
        <f>+'Mgmt Summary'!Q15+'[3]Mgmt Summary'!Q15</f>
        <v>-38992.243000000002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-37265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145.32532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145.32532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-6673.8136799999993</v>
      </c>
      <c r="P16" s="37"/>
      <c r="Q16" s="132">
        <f>+'Mgmt Summary'!Q16+'[3]Mgmt Summary'!Q16</f>
        <v>-1665.6746800000001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-2916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2129.991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2129.991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-5830.6610000000001</v>
      </c>
      <c r="P17" s="37"/>
      <c r="Q17" s="132">
        <f>+'Mgmt Summary'!Q17+'[3]Mgmt Summary'!Q17</f>
        <v>-5870.009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-8575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19303.875980000001</v>
      </c>
      <c r="H23" s="44">
        <f t="shared" si="4"/>
        <v>0</v>
      </c>
      <c r="I23" s="44">
        <f t="shared" si="4"/>
        <v>0</v>
      </c>
      <c r="J23" s="46">
        <f t="shared" si="4"/>
        <v>19303.875980000001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-73932.99152000001</v>
      </c>
      <c r="P23" s="37"/>
      <c r="Q23" s="43">
        <f t="shared" ref="Q23:V23" si="5">SUM(Q9:Q22)</f>
        <v>-182272.19202000002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-180325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19022.757980000002</v>
      </c>
      <c r="H30" s="44">
        <f t="shared" si="6"/>
        <v>0</v>
      </c>
      <c r="I30" s="44">
        <f t="shared" si="6"/>
        <v>0</v>
      </c>
      <c r="J30" s="46">
        <f t="shared" si="6"/>
        <v>19022.757980000002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-92622.490019999997</v>
      </c>
      <c r="P30" s="37"/>
      <c r="Q30" s="43">
        <f t="shared" ref="Q30:V30" si="7">SUM(Q23:Q29)</f>
        <v>-182053.31002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-187569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19022.757980000002</v>
      </c>
      <c r="H34" s="40">
        <f t="shared" si="8"/>
        <v>0</v>
      </c>
      <c r="I34" s="40">
        <f t="shared" si="8"/>
        <v>0</v>
      </c>
      <c r="J34" s="42">
        <f t="shared" si="8"/>
        <v>19022.757980000002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-102330.49002</v>
      </c>
      <c r="P34" s="37"/>
      <c r="Q34" s="39">
        <f t="shared" si="8"/>
        <v>-182053.31002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-190069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4" sqref="A4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May 25,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-72938</v>
      </c>
      <c r="D9" s="223">
        <f>+'Mgmt Summary'!C9</f>
        <v>32500</v>
      </c>
      <c r="E9" s="224">
        <f t="shared" ref="E9:E20" si="0">-D9+C9</f>
        <v>-105438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-90111.483999999997</v>
      </c>
      <c r="L9" s="223">
        <f t="shared" ref="K9:L20" si="2">D9-H9</f>
        <v>15526.516</v>
      </c>
      <c r="M9" s="224">
        <f t="shared" ref="M9:M20" si="3">K9-L9</f>
        <v>-105638</v>
      </c>
      <c r="N9" s="286"/>
      <c r="O9" s="222">
        <f>+C9-'[4]QTD Mgmt Summary'!C9</f>
        <v>-2180</v>
      </c>
      <c r="P9" s="223">
        <f>+'[4]QTD Mgmt Summary'!G9-G9</f>
        <v>0</v>
      </c>
      <c r="Q9" s="224">
        <f t="shared" ref="Q9:Q14" si="4">+O9+P9</f>
        <v>-2180</v>
      </c>
    </row>
    <row r="10" spans="1:22" s="32" customFormat="1" ht="13.5" customHeight="1">
      <c r="A10" s="220" t="s">
        <v>133</v>
      </c>
      <c r="B10" s="221"/>
      <c r="C10" s="222">
        <f>+'Mgmt Summary'!J10</f>
        <v>-2616.0929500000002</v>
      </c>
      <c r="D10" s="223">
        <f>+'Mgmt Summary'!C10</f>
        <v>16250</v>
      </c>
      <c r="E10" s="224">
        <f t="shared" si="0"/>
        <v>-18866.092949999998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-11619.10895</v>
      </c>
      <c r="L10" s="223">
        <f t="shared" si="2"/>
        <v>7446.9840000000004</v>
      </c>
      <c r="M10" s="224">
        <f t="shared" si="3"/>
        <v>-19066.092949999998</v>
      </c>
      <c r="N10" s="286"/>
      <c r="O10" s="222">
        <f>+C10-'[4]QTD Mgmt Summary'!C10</f>
        <v>-3375</v>
      </c>
      <c r="P10" s="223">
        <f>+'[4]QTD Mgmt Summary'!G10-G10</f>
        <v>0</v>
      </c>
      <c r="Q10" s="224">
        <f t="shared" si="4"/>
        <v>-3375</v>
      </c>
    </row>
    <row r="11" spans="1:22" s="32" customFormat="1" ht="13.5" customHeight="1">
      <c r="A11" s="220" t="s">
        <v>122</v>
      </c>
      <c r="B11" s="221"/>
      <c r="C11" s="222">
        <f>+'Mgmt Summary'!J11</f>
        <v>-2622</v>
      </c>
      <c r="D11" s="223">
        <f>+'Mgmt Summary'!C11</f>
        <v>2500</v>
      </c>
      <c r="E11" s="224">
        <f t="shared" si="0"/>
        <v>-5122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-3347</v>
      </c>
      <c r="L11" s="223">
        <f>D11-H11</f>
        <v>1775</v>
      </c>
      <c r="M11" s="224">
        <f t="shared" si="3"/>
        <v>-5122</v>
      </c>
      <c r="N11" s="286"/>
      <c r="O11" s="222">
        <f>+C11-'[4]QTD Mgmt Summary'!C11</f>
        <v>-1252</v>
      </c>
      <c r="P11" s="223">
        <f>+'[4]QTD Mgmt Summary'!G11-G11</f>
        <v>0</v>
      </c>
      <c r="Q11" s="224">
        <f t="shared" si="4"/>
        <v>-1252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1576</v>
      </c>
      <c r="D13" s="223">
        <f>+'Mgmt Summary'!C13</f>
        <v>7078.8189999999995</v>
      </c>
      <c r="E13" s="224">
        <f t="shared" si="0"/>
        <v>-5502.8189999999995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-1664.6319999999996</v>
      </c>
      <c r="L13" s="223">
        <f t="shared" si="2"/>
        <v>3838.1869999999999</v>
      </c>
      <c r="M13" s="224">
        <f t="shared" si="3"/>
        <v>-5502.8189999999995</v>
      </c>
      <c r="N13" s="286"/>
      <c r="O13" s="222">
        <f>+C13-'[4]QTD Mgmt Summary'!C13</f>
        <v>1352</v>
      </c>
      <c r="P13" s="223">
        <f>+'[4]QTD Mgmt Summary'!G13-G13</f>
        <v>0</v>
      </c>
      <c r="Q13" s="224">
        <f t="shared" si="4"/>
        <v>1352</v>
      </c>
    </row>
    <row r="14" spans="1:22" s="32" customFormat="1" ht="13.5" customHeight="1">
      <c r="A14" s="220" t="s">
        <v>70</v>
      </c>
      <c r="B14" s="221"/>
      <c r="C14" s="222">
        <f>+'Mgmt Summary'!J14</f>
        <v>907</v>
      </c>
      <c r="D14" s="223">
        <f>+'Mgmt Summary'!C14</f>
        <v>11875</v>
      </c>
      <c r="E14" s="224">
        <f t="shared" si="0"/>
        <v>-10968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-2352.8140000000003</v>
      </c>
      <c r="L14" s="223">
        <f t="shared" si="2"/>
        <v>8615.1859999999997</v>
      </c>
      <c r="M14" s="224">
        <f t="shared" si="3"/>
        <v>-10968</v>
      </c>
      <c r="N14" s="286"/>
      <c r="O14" s="222">
        <f>+C14-'[4]QTD Mgmt Summary'!C14</f>
        <v>259</v>
      </c>
      <c r="P14" s="223">
        <f>+'[4]QTD Mgmt Summary'!G14-G14</f>
        <v>0</v>
      </c>
      <c r="Q14" s="224">
        <f t="shared" si="4"/>
        <v>259</v>
      </c>
    </row>
    <row r="15" spans="1:22" s="32" customFormat="1" ht="13.5" customHeight="1">
      <c r="A15" s="220" t="s">
        <v>49</v>
      </c>
      <c r="B15" s="221"/>
      <c r="C15" s="222">
        <f>+'Mgmt Summary'!J15</f>
        <v>-4774</v>
      </c>
      <c r="D15" s="223">
        <f>+'Mgmt Summary'!C15</f>
        <v>27500</v>
      </c>
      <c r="E15" s="224">
        <f t="shared" si="0"/>
        <v>-32274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-10787.244999999999</v>
      </c>
      <c r="L15" s="223">
        <f t="shared" si="2"/>
        <v>21486.755000000001</v>
      </c>
      <c r="M15" s="224">
        <f t="shared" si="3"/>
        <v>-32274</v>
      </c>
      <c r="N15" s="286"/>
      <c r="O15" s="222">
        <f>+C15-'[4]QTD Mgmt Summary'!C15</f>
        <v>5487</v>
      </c>
      <c r="P15" s="223">
        <f>+'[4]QTD Mgmt Summary'!G15-G15</f>
        <v>0</v>
      </c>
      <c r="Q15" s="224">
        <f t="shared" ref="Q15:Q20" si="5">+O15+P15</f>
        <v>5487</v>
      </c>
    </row>
    <row r="16" spans="1:22" s="32" customFormat="1" ht="13.5" customHeight="1">
      <c r="A16" s="220" t="s">
        <v>127</v>
      </c>
      <c r="B16" s="221"/>
      <c r="C16" s="222">
        <f>+'Mgmt Summary'!J16</f>
        <v>104.37132</v>
      </c>
      <c r="D16" s="223">
        <f>+'Mgmt Summary'!C16</f>
        <v>1311</v>
      </c>
      <c r="E16" s="224">
        <f t="shared" si="0"/>
        <v>-1206.62868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-4830.3396799999991</v>
      </c>
      <c r="L16" s="223">
        <f t="shared" si="2"/>
        <v>-3623.7109999999993</v>
      </c>
      <c r="M16" s="224">
        <f t="shared" si="3"/>
        <v>-1206.6286799999998</v>
      </c>
      <c r="N16" s="286"/>
      <c r="O16" s="222">
        <f>+C16-'[4]QTD Mgmt Summary'!C16</f>
        <v>17</v>
      </c>
      <c r="P16" s="223">
        <f>+'[4]QTD Mgmt Summary'!G16-G16</f>
        <v>0</v>
      </c>
      <c r="Q16" s="224">
        <f t="shared" si="5"/>
        <v>17</v>
      </c>
    </row>
    <row r="17" spans="1:19" s="32" customFormat="1" ht="13.5" customHeight="1">
      <c r="A17" s="220" t="s">
        <v>87</v>
      </c>
      <c r="B17" s="221"/>
      <c r="C17" s="222">
        <f>+'Mgmt Summary'!J17</f>
        <v>450</v>
      </c>
      <c r="D17" s="223">
        <f>+'Mgmt Summary'!C17</f>
        <v>5000</v>
      </c>
      <c r="E17" s="224">
        <f t="shared" si="0"/>
        <v>-4550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-3672.0959999999995</v>
      </c>
      <c r="L17" s="223">
        <f t="shared" si="2"/>
        <v>2377.904</v>
      </c>
      <c r="M17" s="224">
        <f t="shared" si="3"/>
        <v>-6050</v>
      </c>
      <c r="N17" s="286"/>
      <c r="O17" s="222">
        <f>+C17-'[4]QTD Mgmt Summary'!C17</f>
        <v>36</v>
      </c>
      <c r="P17" s="223">
        <f>+'[4]QTD Mgmt Summary'!G17-G17</f>
        <v>0</v>
      </c>
      <c r="Q17" s="224">
        <f t="shared" si="5"/>
        <v>36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3.8">
      <c r="A23" s="226" t="s">
        <v>3</v>
      </c>
      <c r="B23" s="216"/>
      <c r="C23" s="231">
        <f>SUM(C9:C22)</f>
        <v>-81357.72163</v>
      </c>
      <c r="D23" s="232">
        <f>SUM(D9:D22)</f>
        <v>110000.42200000001</v>
      </c>
      <c r="E23" s="233">
        <f>SUM(E9:E22)</f>
        <v>-191358.14362999998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-132732.52162999997</v>
      </c>
      <c r="L23" s="232">
        <f>SUM(L9:L22)</f>
        <v>60775.621999999996</v>
      </c>
      <c r="M23" s="233">
        <f>SUM(M9:M22)</f>
        <v>-193508.14362999998</v>
      </c>
      <c r="N23" s="287"/>
      <c r="O23" s="231">
        <f>SUM(O9:O22)</f>
        <v>344</v>
      </c>
      <c r="P23" s="232">
        <f>SUM(P9:P22)</f>
        <v>0</v>
      </c>
      <c r="Q23" s="233">
        <f>SUM(Q9:Q22)</f>
        <v>344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3.8">
      <c r="A30" s="226" t="s">
        <v>73</v>
      </c>
      <c r="B30" s="216"/>
      <c r="C30" s="231">
        <f>SUM(C23:C28)</f>
        <v>-81357.72163</v>
      </c>
      <c r="D30" s="232">
        <f>SUM(D23:D28)</f>
        <v>110000.42200000001</v>
      </c>
      <c r="E30" s="233">
        <f>SUM(E23:E28)</f>
        <v>-191358.14362999998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-138938.15262999997</v>
      </c>
      <c r="L30" s="232">
        <f>SUM(L23:L28)</f>
        <v>54569.991000000009</v>
      </c>
      <c r="M30" s="233">
        <f>SUM(M23:M28)</f>
        <v>-193508.14362999998</v>
      </c>
      <c r="N30" s="287"/>
      <c r="O30" s="231">
        <f>SUM(O23:O28)</f>
        <v>344</v>
      </c>
      <c r="P30" s="232">
        <f>SUM(P23:P28)</f>
        <v>0</v>
      </c>
      <c r="Q30" s="233">
        <f>SUM(Q23:Q28)</f>
        <v>344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4.4" thickBot="1">
      <c r="A34" s="227" t="s">
        <v>74</v>
      </c>
      <c r="B34" s="219"/>
      <c r="C34" s="236">
        <f>+C30-C32</f>
        <v>-81357.72163</v>
      </c>
      <c r="D34" s="237">
        <f>+D30-D32</f>
        <v>110000.42200000001</v>
      </c>
      <c r="E34" s="260">
        <f>+E30-E32</f>
        <v>-191358.14362999998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-148338.15262999997</v>
      </c>
      <c r="L34" s="237">
        <f>SUM(L30:L32)</f>
        <v>47669.991000000009</v>
      </c>
      <c r="M34" s="260">
        <f>SUM(M30:M32)</f>
        <v>-196008.14362999998</v>
      </c>
      <c r="N34" s="287"/>
      <c r="O34" s="236">
        <f>SUM(O30:O32)</f>
        <v>344</v>
      </c>
      <c r="P34" s="237">
        <f>SUM(P30:P32)</f>
        <v>0</v>
      </c>
      <c r="Q34" s="260">
        <f>SUM(Q30:Q32)</f>
        <v>344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8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8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8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-81357.72163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8" hidden="1">
      <c r="C50" s="275" t="s">
        <v>103</v>
      </c>
      <c r="D50" s="276"/>
      <c r="E50" s="277">
        <f>+E48-E47</f>
        <v>-81357.72163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J39" sqref="J3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2" width="7.6640625" style="14" hidden="1" customWidth="1"/>
    <col min="13" max="14" width="7.6640625" style="14" customWidth="1"/>
    <col min="15" max="15" width="8.3320312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3.8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8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-72938</v>
      </c>
      <c r="H9" s="36">
        <f>GrossMargin!J10</f>
        <v>0</v>
      </c>
      <c r="I9" s="36">
        <f>GrossMargin!K10</f>
        <v>0</v>
      </c>
      <c r="J9" s="135">
        <f>SUM(G9:I9)</f>
        <v>-72938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-90111.484000000011</v>
      </c>
      <c r="P9" s="37"/>
      <c r="Q9" s="132">
        <f t="shared" ref="Q9:Q16" si="1">+J9-C9</f>
        <v>-105438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-105638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-2616.0929500000002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-2616.0929500000002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-11619.108950000002</v>
      </c>
      <c r="P10" s="37"/>
      <c r="Q10" s="132">
        <f t="shared" si="1"/>
        <v>-18866.092949999998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-19066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-2622</v>
      </c>
      <c r="H11" s="36">
        <f>GrossMargin!J12</f>
        <v>0</v>
      </c>
      <c r="I11" s="36">
        <f>GrossMargin!K12</f>
        <v>0</v>
      </c>
      <c r="J11" s="135">
        <f t="shared" si="3"/>
        <v>-2622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-3347</v>
      </c>
      <c r="P11" s="37"/>
      <c r="Q11" s="132">
        <f>+J11-C11</f>
        <v>-5122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-5122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1576</v>
      </c>
      <c r="H13" s="36">
        <f>GrossMargin!J14</f>
        <v>0</v>
      </c>
      <c r="I13" s="36">
        <f>GrossMargin!K14</f>
        <v>0</v>
      </c>
      <c r="J13" s="135">
        <f t="shared" si="3"/>
        <v>1576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-1664.6319999999998</v>
      </c>
      <c r="P13" s="37"/>
      <c r="Q13" s="132">
        <f t="shared" si="1"/>
        <v>-5502.8189999999995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-5503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907</v>
      </c>
      <c r="H14" s="36">
        <f>GrossMargin!J15</f>
        <v>0</v>
      </c>
      <c r="I14" s="36">
        <f>GrossMargin!K15</f>
        <v>0</v>
      </c>
      <c r="J14" s="135">
        <f t="shared" si="3"/>
        <v>907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-2352.8140000000003</v>
      </c>
      <c r="P14" s="37"/>
      <c r="Q14" s="132">
        <f t="shared" si="1"/>
        <v>-10968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-10968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-4774</v>
      </c>
      <c r="H15" s="36">
        <f>GrossMargin!J16</f>
        <v>0</v>
      </c>
      <c r="I15" s="36">
        <f>GrossMargin!K16</f>
        <v>0</v>
      </c>
      <c r="J15" s="135">
        <f t="shared" si="3"/>
        <v>-4774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-10787.244999999999</v>
      </c>
      <c r="P15" s="178"/>
      <c r="Q15" s="138">
        <f t="shared" si="1"/>
        <v>-32274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-32274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104.37132</v>
      </c>
      <c r="H16" s="36">
        <f>GrossMargin!J17</f>
        <v>0</v>
      </c>
      <c r="I16" s="36">
        <f>GrossMargin!K17</f>
        <v>0</v>
      </c>
      <c r="J16" s="135">
        <f t="shared" si="3"/>
        <v>104.37132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-4830.3396799999991</v>
      </c>
      <c r="P16" s="178"/>
      <c r="Q16" s="138">
        <f t="shared" si="1"/>
        <v>-1206.62868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-1207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450</v>
      </c>
      <c r="H17" s="36">
        <f>GrossMargin!J18</f>
        <v>0</v>
      </c>
      <c r="I17" s="36">
        <f>GrossMargin!K18</f>
        <v>0</v>
      </c>
      <c r="J17" s="135">
        <f t="shared" si="3"/>
        <v>450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-3672.096</v>
      </c>
      <c r="P17" s="178"/>
      <c r="Q17" s="138">
        <f>+J17-C17</f>
        <v>-4550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-6050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-81357.72163</v>
      </c>
      <c r="H23" s="44">
        <f t="shared" si="5"/>
        <v>0</v>
      </c>
      <c r="I23" s="44">
        <f t="shared" si="5"/>
        <v>0</v>
      </c>
      <c r="J23" s="46">
        <f t="shared" si="5"/>
        <v>-81357.72163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-132732.52163</v>
      </c>
      <c r="P23" s="37"/>
      <c r="Q23" s="43">
        <f t="shared" ref="Q23:V23" si="6">SUM(Q9:Q22)</f>
        <v>-191358.14362999998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-193508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-81357.72163</v>
      </c>
      <c r="H30" s="44">
        <f t="shared" si="7"/>
        <v>0</v>
      </c>
      <c r="I30" s="44">
        <f t="shared" si="7"/>
        <v>0</v>
      </c>
      <c r="J30" s="46">
        <f t="shared" si="7"/>
        <v>-81357.72163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-138938.15263</v>
      </c>
      <c r="P30" s="37"/>
      <c r="Q30" s="43">
        <f t="shared" ref="Q30:V30" si="8">SUM(Q23:Q29)</f>
        <v>-191358.14362999998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-193508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-81357.72163</v>
      </c>
      <c r="H34" s="40">
        <f t="shared" si="9"/>
        <v>0</v>
      </c>
      <c r="I34" s="40">
        <f t="shared" si="9"/>
        <v>0</v>
      </c>
      <c r="J34" s="42">
        <f t="shared" si="9"/>
        <v>-81357.72163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-148338.15263</v>
      </c>
      <c r="P34" s="37"/>
      <c r="Q34" s="39">
        <f t="shared" si="9"/>
        <v>-191358.14362999998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-196008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A40" sqref="A40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3.8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8">
      <c r="A3" s="183" t="str">
        <f>+'Mgmt Summary'!A3:V3</f>
        <v>Results based on activity through May 25,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-2180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-2180</v>
      </c>
      <c r="I9" s="132">
        <v>0</v>
      </c>
      <c r="J9" s="36">
        <f>+GrossMargin!K10-[4]GrossMargin!K10</f>
        <v>0</v>
      </c>
      <c r="K9" s="134">
        <f t="shared" ref="K9:K20" si="1">SUM(H9:J9)</f>
        <v>-2180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-3375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-3375</v>
      </c>
      <c r="I10" s="132">
        <v>0</v>
      </c>
      <c r="J10" s="36">
        <f>+GrossMargin!K11-[4]GrossMargin!K11</f>
        <v>0</v>
      </c>
      <c r="K10" s="134">
        <f t="shared" si="1"/>
        <v>-3375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-1252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-1252</v>
      </c>
      <c r="I11" s="132">
        <v>0</v>
      </c>
      <c r="J11" s="36">
        <f>+GrossMargin!K12-[4]GrossMargin!K12</f>
        <v>0</v>
      </c>
      <c r="K11" s="134">
        <f t="shared" si="1"/>
        <v>-1252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1352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1352</v>
      </c>
      <c r="I13" s="132">
        <v>0</v>
      </c>
      <c r="J13" s="36">
        <f>+GrossMargin!K14-[4]GrossMargin!K14</f>
        <v>0</v>
      </c>
      <c r="K13" s="134">
        <f t="shared" si="1"/>
        <v>1352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259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259</v>
      </c>
      <c r="I14" s="132">
        <v>0</v>
      </c>
      <c r="J14" s="36">
        <f>+GrossMargin!K15-[4]GrossMargin!K15</f>
        <v>0</v>
      </c>
      <c r="K14" s="134">
        <f t="shared" si="1"/>
        <v>259</v>
      </c>
    </row>
    <row r="15" spans="1:11" ht="13.5" hidden="1" customHeight="1">
      <c r="A15" s="304" t="s">
        <v>79</v>
      </c>
      <c r="B15" s="245"/>
      <c r="C15" s="240">
        <f>+GrossMargin!D16-[4]GrossMargin!D16</f>
        <v>6703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6703</v>
      </c>
      <c r="I15" s="290">
        <v>0</v>
      </c>
      <c r="J15" s="242">
        <f>+GrossMargin!K16-[4]GrossMargin!K16</f>
        <v>0</v>
      </c>
      <c r="K15" s="291">
        <f t="shared" si="1"/>
        <v>6703</v>
      </c>
    </row>
    <row r="16" spans="1:11" ht="13.5" hidden="1" customHeight="1">
      <c r="A16" s="304" t="s">
        <v>109</v>
      </c>
      <c r="B16" s="245"/>
      <c r="C16" s="240">
        <f>+GrossMargin!D17-[4]GrossMargin!D17</f>
        <v>-381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-381</v>
      </c>
      <c r="I16" s="290">
        <v>0</v>
      </c>
      <c r="J16" s="242">
        <f>+GrossMargin!K17-[4]GrossMargin!K17</f>
        <v>0</v>
      </c>
      <c r="K16" s="291">
        <f t="shared" si="1"/>
        <v>-381</v>
      </c>
    </row>
    <row r="17" spans="1:11" ht="13.5" hidden="1" customHeight="1">
      <c r="A17" s="304" t="s">
        <v>82</v>
      </c>
      <c r="B17" s="245"/>
      <c r="C17" s="240">
        <f>+GrossMargin!D18-[4]GrossMargin!D18</f>
        <v>-658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-658</v>
      </c>
      <c r="I17" s="290">
        <v>0</v>
      </c>
      <c r="J17" s="242">
        <f>+GrossMargin!K18-[4]GrossMargin!K18</f>
        <v>0</v>
      </c>
      <c r="K17" s="291">
        <f t="shared" si="1"/>
        <v>-658</v>
      </c>
    </row>
    <row r="18" spans="1:11" ht="13.5" hidden="1" customHeight="1">
      <c r="A18" s="304" t="s">
        <v>80</v>
      </c>
      <c r="B18" s="245"/>
      <c r="C18" s="240">
        <f>+GrossMargin!D19-[4]GrossMargin!D19</f>
        <v>-183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-183</v>
      </c>
      <c r="I18" s="290">
        <v>0</v>
      </c>
      <c r="J18" s="242">
        <f>+GrossMargin!K19-[4]GrossMargin!K19</f>
        <v>0</v>
      </c>
      <c r="K18" s="291">
        <f t="shared" si="1"/>
        <v>-183</v>
      </c>
    </row>
    <row r="19" spans="1:11" ht="13.5" hidden="1" customHeight="1">
      <c r="A19" s="304" t="s">
        <v>81</v>
      </c>
      <c r="B19" s="245"/>
      <c r="C19" s="240">
        <f>+GrossMargin!D20-[4]GrossMargin!D20</f>
        <v>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6</v>
      </c>
      <c r="I19" s="290">
        <v>0</v>
      </c>
      <c r="J19" s="242">
        <f>+GrossMargin!K20-[4]GrossMargin!K20</f>
        <v>0</v>
      </c>
      <c r="K19" s="291">
        <f t="shared" si="1"/>
        <v>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5487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5487</v>
      </c>
      <c r="I21" s="132">
        <f t="shared" si="2"/>
        <v>0</v>
      </c>
      <c r="J21" s="36">
        <f t="shared" si="2"/>
        <v>0</v>
      </c>
      <c r="K21" s="134">
        <f t="shared" si="2"/>
        <v>5487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17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17</v>
      </c>
      <c r="I22" s="132">
        <v>0</v>
      </c>
      <c r="J22" s="36">
        <f>+GrossMargin!K23-[4]GrossMargin!K23</f>
        <v>0</v>
      </c>
      <c r="K22" s="134">
        <f t="shared" ref="K22:K27" si="4">SUM(H22:J22)</f>
        <v>17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36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36</v>
      </c>
      <c r="I23" s="132">
        <v>0</v>
      </c>
      <c r="J23" s="36">
        <f>+GrossMargin!K24-[4]GrossMargin!K24</f>
        <v>0</v>
      </c>
      <c r="K23" s="134">
        <f t="shared" si="4"/>
        <v>36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344</v>
      </c>
      <c r="D29" s="44">
        <f>SUM(D9:D14)+SUM(D21:D27)</f>
        <v>0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344</v>
      </c>
      <c r="I29" s="44" t="e">
        <f>+#REF!+#REF!</f>
        <v>#REF!</v>
      </c>
      <c r="J29" s="44">
        <f>SUM(J9:J14)+SUM(J21:J27)</f>
        <v>0</v>
      </c>
      <c r="K29" s="45">
        <f>SUM(K9:K14)+SUM(K21:K27)</f>
        <v>344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344</v>
      </c>
      <c r="D33" s="40">
        <f>SUM(D9:D14)+SUM(D21:D27)</f>
        <v>0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344</v>
      </c>
      <c r="I33" s="40" t="e">
        <f>SUM(I29:I31)</f>
        <v>#REF!</v>
      </c>
      <c r="J33" s="40">
        <f>SUM(J9:J14)+SUM(J21:J27)</f>
        <v>0</v>
      </c>
      <c r="K33" s="41">
        <f>SUM(K9:K14)+SUM(K21:K27)</f>
        <v>344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8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6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3" sqref="B23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3.8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8">
      <c r="A4" s="12" t="s">
        <v>21</v>
      </c>
      <c r="B4" s="183" t="str">
        <f>+'Mgmt Summary'!A3</f>
        <v>Results based on activity through May 25,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-72938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-72938</v>
      </c>
      <c r="J10" s="136"/>
      <c r="K10" s="36">
        <v>0</v>
      </c>
      <c r="L10" s="36">
        <f>+I10+K10</f>
        <v>-72938</v>
      </c>
      <c r="M10" s="249">
        <v>32500</v>
      </c>
      <c r="N10" s="134">
        <f t="shared" ref="N10:N23" si="1">L10-M10</f>
        <v>-105438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-2775</v>
      </c>
      <c r="E11" s="139">
        <v>232.47763</v>
      </c>
      <c r="F11" s="139">
        <v>0</v>
      </c>
      <c r="G11" s="139">
        <v>-73.570580000000007</v>
      </c>
      <c r="H11" s="137">
        <v>0</v>
      </c>
      <c r="I11" s="135">
        <f t="shared" si="0"/>
        <v>-2616.0929500000002</v>
      </c>
      <c r="J11" s="136"/>
      <c r="K11" s="36">
        <v>0</v>
      </c>
      <c r="L11" s="36">
        <f t="shared" ref="L11:L23" si="2">+I11+K11</f>
        <v>-2616.0929500000002</v>
      </c>
      <c r="M11" s="249">
        <f>13750-M12+1875+3125</f>
        <v>16250</v>
      </c>
      <c r="N11" s="134">
        <f t="shared" si="1"/>
        <v>-18866.092949999998</v>
      </c>
    </row>
    <row r="12" spans="1:16" s="187" customFormat="1" ht="13.5" customHeight="1">
      <c r="A12" s="12"/>
      <c r="B12" s="106" t="s">
        <v>122</v>
      </c>
      <c r="C12" s="186"/>
      <c r="D12" s="138">
        <v>-2622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-2622</v>
      </c>
      <c r="J12" s="136"/>
      <c r="K12" s="36">
        <v>0</v>
      </c>
      <c r="L12" s="36">
        <f>+I12+K12</f>
        <v>-2622</v>
      </c>
      <c r="M12" s="249">
        <v>2500</v>
      </c>
      <c r="N12" s="134">
        <f>L12-M12</f>
        <v>-5122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1576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1576</v>
      </c>
      <c r="J14" s="136"/>
      <c r="K14" s="36">
        <v>0</v>
      </c>
      <c r="L14" s="36">
        <f t="shared" si="2"/>
        <v>1576</v>
      </c>
      <c r="M14" s="249">
        <f>8578.819-1500</f>
        <v>7078.8189999999995</v>
      </c>
      <c r="N14" s="134">
        <f t="shared" si="1"/>
        <v>-5502.8189999999995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907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907</v>
      </c>
      <c r="J15" s="136"/>
      <c r="K15" s="36">
        <v>0</v>
      </c>
      <c r="L15" s="36">
        <f t="shared" si="2"/>
        <v>907</v>
      </c>
      <c r="M15" s="249">
        <v>11875</v>
      </c>
      <c r="N15" s="134">
        <f t="shared" si="1"/>
        <v>-10968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-7355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-7355</v>
      </c>
      <c r="J16" s="242"/>
      <c r="K16" s="242">
        <v>0</v>
      </c>
      <c r="L16" s="36">
        <f t="shared" si="2"/>
        <v>-7355</v>
      </c>
      <c r="M16" s="251">
        <v>0</v>
      </c>
      <c r="N16" s="243">
        <f>L16-M16</f>
        <v>-7355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3624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3624</v>
      </c>
      <c r="J17" s="242"/>
      <c r="K17" s="242">
        <v>0</v>
      </c>
      <c r="L17" s="36">
        <f>+I17+K17</f>
        <v>3624</v>
      </c>
      <c r="M17" s="251">
        <v>0</v>
      </c>
      <c r="N17" s="243">
        <f>L17-M17</f>
        <v>3624</v>
      </c>
    </row>
    <row r="18" spans="1:16" ht="13.5" hidden="1" customHeight="1">
      <c r="B18" s="304" t="s">
        <v>82</v>
      </c>
      <c r="C18" s="239"/>
      <c r="D18" s="240">
        <v>-994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-994</v>
      </c>
      <c r="J18" s="242"/>
      <c r="K18" s="242">
        <v>0</v>
      </c>
      <c r="L18" s="36">
        <f t="shared" si="2"/>
        <v>-994</v>
      </c>
      <c r="M18" s="251">
        <v>0</v>
      </c>
      <c r="N18" s="243">
        <f>L18-M18</f>
        <v>-994</v>
      </c>
      <c r="P18" s="165"/>
    </row>
    <row r="19" spans="1:16" ht="13.5" hidden="1" customHeight="1">
      <c r="B19" s="304" t="s">
        <v>80</v>
      </c>
      <c r="C19" s="239"/>
      <c r="D19" s="240">
        <v>-22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-22</v>
      </c>
      <c r="J19" s="242"/>
      <c r="K19" s="242">
        <v>0</v>
      </c>
      <c r="L19" s="36">
        <f t="shared" si="2"/>
        <v>-22</v>
      </c>
      <c r="M19" s="251">
        <v>0</v>
      </c>
      <c r="N19" s="243">
        <f t="shared" si="1"/>
        <v>-22</v>
      </c>
      <c r="O19" s="165"/>
    </row>
    <row r="20" spans="1:16" ht="13.5" hidden="1" customHeight="1">
      <c r="B20" s="304" t="s">
        <v>81</v>
      </c>
      <c r="C20" s="239"/>
      <c r="D20" s="240">
        <v>-27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-27</v>
      </c>
      <c r="J20" s="242"/>
      <c r="K20" s="242">
        <v>0</v>
      </c>
      <c r="L20" s="36">
        <f t="shared" si="2"/>
        <v>-27</v>
      </c>
      <c r="M20" s="251">
        <v>0</v>
      </c>
      <c r="N20" s="243">
        <f t="shared" si="1"/>
        <v>-27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-4774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-4774</v>
      </c>
      <c r="J22" s="136"/>
      <c r="K22" s="36">
        <f>SUM(K16:K21)</f>
        <v>0</v>
      </c>
      <c r="L22" s="36">
        <f t="shared" si="2"/>
        <v>-4774</v>
      </c>
      <c r="M22" s="249">
        <v>27500</v>
      </c>
      <c r="N22" s="134">
        <f>L22-M22</f>
        <v>-32274</v>
      </c>
    </row>
    <row r="23" spans="1:16" s="187" customFormat="1" ht="13.5" customHeight="1">
      <c r="A23" s="12"/>
      <c r="B23" s="166" t="s">
        <v>127</v>
      </c>
      <c r="C23" s="186"/>
      <c r="D23" s="138">
        <v>84</v>
      </c>
      <c r="E23" s="139">
        <v>20.371320000000001</v>
      </c>
      <c r="F23" s="139">
        <v>0</v>
      </c>
      <c r="G23" s="139">
        <v>0</v>
      </c>
      <c r="H23" s="137">
        <v>0</v>
      </c>
      <c r="I23" s="135">
        <f t="shared" ref="I23:I28" si="4">SUM(D23:H23)</f>
        <v>104.37132</v>
      </c>
      <c r="J23" s="136"/>
      <c r="K23" s="36">
        <v>0</v>
      </c>
      <c r="L23" s="36">
        <f t="shared" si="2"/>
        <v>104.37132</v>
      </c>
      <c r="M23" s="137">
        <f>1000+311</f>
        <v>1311</v>
      </c>
      <c r="N23" s="134">
        <f t="shared" si="1"/>
        <v>-1206.62868</v>
      </c>
    </row>
    <row r="24" spans="1:16" s="187" customFormat="1" ht="13.5" customHeight="1">
      <c r="A24" s="12"/>
      <c r="B24" s="106" t="s">
        <v>87</v>
      </c>
      <c r="C24" s="186"/>
      <c r="D24" s="138">
        <v>412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450</v>
      </c>
      <c r="J24" s="136"/>
      <c r="K24" s="36">
        <v>0</v>
      </c>
      <c r="L24" s="36">
        <f>+I24+K24</f>
        <v>450</v>
      </c>
      <c r="M24" s="249">
        <v>5000</v>
      </c>
      <c r="N24" s="134">
        <f>L24-M24</f>
        <v>-4550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-80130</v>
      </c>
      <c r="E30" s="44">
        <f t="shared" si="5"/>
        <v>252.84895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-81357.72163</v>
      </c>
      <c r="J30" s="44">
        <f t="shared" si="5"/>
        <v>0</v>
      </c>
      <c r="K30" s="44">
        <f t="shared" si="5"/>
        <v>0</v>
      </c>
      <c r="L30" s="44">
        <f t="shared" si="5"/>
        <v>-81357.72163</v>
      </c>
      <c r="M30" s="44">
        <f t="shared" si="5"/>
        <v>110000.42199999999</v>
      </c>
      <c r="N30" s="46">
        <f t="shared" si="5"/>
        <v>-191358.14362999998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-80130</v>
      </c>
      <c r="E34" s="40">
        <f t="shared" ref="E34:N34" si="6">SUM(E10:E15)+SUM(E22:E28)</f>
        <v>252.84895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-81357.72163</v>
      </c>
      <c r="J34" s="40">
        <f t="shared" si="6"/>
        <v>0</v>
      </c>
      <c r="K34" s="40">
        <f t="shared" si="6"/>
        <v>0</v>
      </c>
      <c r="L34" s="40">
        <f t="shared" si="6"/>
        <v>-81357.72163</v>
      </c>
      <c r="M34" s="40">
        <f t="shared" si="6"/>
        <v>110000.42199999999</v>
      </c>
      <c r="N34" s="42">
        <f t="shared" si="6"/>
        <v>-191358.14362999998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3.8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3.8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May 25,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1.88671875" hidden="1" customWidth="1"/>
    <col min="11" max="13" width="8.6640625" customWidth="1"/>
    <col min="14" max="16" width="14.88671875" customWidth="1"/>
  </cols>
  <sheetData>
    <row r="1" spans="1:20" hidden="1">
      <c r="A1" s="10" t="s">
        <v>42</v>
      </c>
    </row>
    <row r="2" spans="1:20" ht="15.6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3.8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3.8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>_xll.HPVAL($A10,$A$18,$A$2,$A$5,$A$6,$A$7)</f>
        <v>#VALUE!</v>
      </c>
      <c r="E10" s="160" t="e">
        <f>_xll.HPVAL($A10,$A$18,$A$3,$A$5,$A$6,$A$7)</f>
        <v>#VALUE!</v>
      </c>
      <c r="F10" s="161" t="e">
        <f t="shared" si="0"/>
        <v>#VALUE!</v>
      </c>
      <c r="G10" s="52"/>
      <c r="H10" s="159" t="e">
        <f>_xll.HPVAL($A10,$A$1,$A$2,$A$5,$A$6,$A$7)</f>
        <v>#VALUE!</v>
      </c>
      <c r="I10" s="160" t="e">
        <f>_xll.HPVAL($A10,$A$1,$A$3,$A$5,$A$6,$A$7)</f>
        <v>#VALUE!</v>
      </c>
      <c r="J10" s="161" t="e">
        <f t="shared" si="1"/>
        <v>#VALUE!</v>
      </c>
      <c r="K10" s="50"/>
      <c r="L10" s="159" t="e">
        <f t="shared" si="2"/>
        <v>#VALUE!</v>
      </c>
      <c r="M10" s="160" t="e">
        <f t="shared" si="3"/>
        <v>#VALUE!</v>
      </c>
      <c r="N10" s="161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>_xll.HPVAL($A11,$A$18,$A$2,$A$5,$A$6,$A$7)</f>
        <v>#VALUE!</v>
      </c>
      <c r="E11" s="160" t="e">
        <f>_xll.HPVAL($A11,$A$18,$A$3,$A$5,$A$6,$A$7)</f>
        <v>#VALUE!</v>
      </c>
      <c r="F11" s="161" t="e">
        <f t="shared" si="0"/>
        <v>#VALUE!</v>
      </c>
      <c r="G11" s="52"/>
      <c r="H11" s="159" t="e">
        <f>_xll.HPVAL($A11,$A$1,$A$2,$A$5,$A$6,$A$7)</f>
        <v>#VALUE!</v>
      </c>
      <c r="I11" s="160" t="e">
        <f>_xll.HPVAL($A11,$A$1,$A$3,$A$5,$A$6,$A$7)</f>
        <v>#VALUE!</v>
      </c>
      <c r="J11" s="161" t="e">
        <f t="shared" si="1"/>
        <v>#VALUE!</v>
      </c>
      <c r="K11" s="50"/>
      <c r="L11" s="159" t="e">
        <f t="shared" si="2"/>
        <v>#VALUE!</v>
      </c>
      <c r="M11" s="160" t="e">
        <f t="shared" si="3"/>
        <v>#VALUE!</v>
      </c>
      <c r="N11" s="161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>_xll.HPVAL($A12,$A$18,$A$2,$A$5,$A$6,$A$7)</f>
        <v>#VALUE!</v>
      </c>
      <c r="E12" s="160" t="e">
        <f>_xll.HPVAL($A12,$A$18,$A$3,$A$5,$A$6,$A$7)</f>
        <v>#VALUE!</v>
      </c>
      <c r="F12" s="161" t="e">
        <f t="shared" si="0"/>
        <v>#VALUE!</v>
      </c>
      <c r="G12" s="52"/>
      <c r="H12" s="159" t="e">
        <f>_xll.HPVAL($A12,$A$1,$A$2,$A$5,$A$6,$A$7)</f>
        <v>#VALUE!</v>
      </c>
      <c r="I12" s="160" t="e">
        <f>_xll.HPVAL($A12,$A$1,$A$3,$A$5,$A$6,$A$7)</f>
        <v>#VALUE!</v>
      </c>
      <c r="J12" s="161" t="e">
        <f t="shared" si="1"/>
        <v>#VALUE!</v>
      </c>
      <c r="K12" s="50"/>
      <c r="L12" s="159" t="e">
        <f t="shared" si="2"/>
        <v>#VALUE!</v>
      </c>
      <c r="M12" s="160" t="e">
        <f t="shared" si="3"/>
        <v>#VALUE!</v>
      </c>
      <c r="N12" s="161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>_xll.HPVAL($A13,$A$18,$A$2,$A$5,$A$6,$A$7)</f>
        <v>#VALUE!</v>
      </c>
      <c r="E13" s="160" t="e">
        <f>_xll.HPVAL($A13,$A$18,$A$3,$A$5,$A$6,$A$7)</f>
        <v>#VALUE!</v>
      </c>
      <c r="F13" s="161" t="e">
        <f t="shared" si="0"/>
        <v>#VALUE!</v>
      </c>
      <c r="G13" s="52"/>
      <c r="H13" s="159" t="e">
        <f>_xll.HPVAL($A13,$A$1,$A$2,$A$5,$A$6,$A$7)</f>
        <v>#VALUE!</v>
      </c>
      <c r="I13" s="160" t="e">
        <f>_xll.HPVAL($A13,$A$1,$A$3,$A$5,$A$6,$A$7)</f>
        <v>#VALUE!</v>
      </c>
      <c r="J13" s="161" t="e">
        <f t="shared" si="1"/>
        <v>#VALUE!</v>
      </c>
      <c r="K13" s="50"/>
      <c r="L13" s="159" t="e">
        <f t="shared" si="2"/>
        <v>#VALUE!</v>
      </c>
      <c r="M13" s="160" t="e">
        <f t="shared" si="3"/>
        <v>#VALUE!</v>
      </c>
      <c r="N13" s="161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>_xll.HPVAL($A14,$A$18,$A$2,$A$5,$A$6,$A$7)</f>
        <v>#VALUE!</v>
      </c>
      <c r="E14" s="160" t="e">
        <f>_xll.HPVAL($A14,$A$18,$A$3,$A$5,$A$6,$A$7)</f>
        <v>#VALUE!</v>
      </c>
      <c r="F14" s="161" t="e">
        <f t="shared" si="0"/>
        <v>#VALUE!</v>
      </c>
      <c r="G14" s="52"/>
      <c r="H14" s="159" t="e">
        <f>_xll.HPVAL($A14,$A$1,$A$2,$A$5,$A$6,$A$7)</f>
        <v>#VALUE!</v>
      </c>
      <c r="I14" s="160" t="e">
        <f>_xll.HPVAL($A14,$A$1,$A$3,$A$5,$A$6,$A$7)</f>
        <v>#VALUE!</v>
      </c>
      <c r="J14" s="161" t="e">
        <f t="shared" si="1"/>
        <v>#VALUE!</v>
      </c>
      <c r="K14" s="50"/>
      <c r="L14" s="159" t="e">
        <f t="shared" si="2"/>
        <v>#VALUE!</v>
      </c>
      <c r="M14" s="160" t="e">
        <f t="shared" si="3"/>
        <v>#VALUE!</v>
      </c>
      <c r="N14" s="161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2001-05-29T12:56:23Z</cp:lastPrinted>
  <dcterms:created xsi:type="dcterms:W3CDTF">1999-10-18T12:36:30Z</dcterms:created>
  <dcterms:modified xsi:type="dcterms:W3CDTF">2023-09-10T11:38:29Z</dcterms:modified>
</cp:coreProperties>
</file>