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'GM-WeeklyChnge'!$A$1:$K$34</definedName>
    <definedName name="_xlnm.Print_Area" localSheetId="4">GrossMargin!$B$2:$N$36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M16" i="4"/>
  <c r="F17" i="4"/>
  <c r="K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3" i="19"/>
  <c r="D23" i="19"/>
  <c r="E23" i="19"/>
  <c r="C25" i="19"/>
  <c r="D25" i="19"/>
  <c r="E25" i="19"/>
  <c r="C26" i="19"/>
  <c r="D26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F31" i="9"/>
  <c r="H31" i="9"/>
  <c r="J31" i="9"/>
  <c r="K31" i="9"/>
  <c r="C33" i="9"/>
  <c r="D33" i="9"/>
  <c r="E33" i="9"/>
  <c r="F33" i="9"/>
  <c r="G33" i="9"/>
  <c r="H33" i="9"/>
  <c r="I33" i="9"/>
  <c r="J33" i="9"/>
  <c r="K33" i="9"/>
  <c r="B4" i="2"/>
  <c r="I10" i="2"/>
  <c r="L10" i="2"/>
  <c r="N10" i="2"/>
  <c r="D11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M28" i="2"/>
  <c r="N28" i="2"/>
  <c r="D30" i="2"/>
  <c r="E30" i="2"/>
  <c r="F30" i="2"/>
  <c r="G30" i="2"/>
  <c r="H30" i="2"/>
  <c r="I30" i="2"/>
  <c r="J30" i="2"/>
  <c r="K30" i="2"/>
  <c r="L30" i="2"/>
  <c r="M30" i="2"/>
  <c r="N30" i="2"/>
  <c r="I32" i="2"/>
  <c r="L32" i="2"/>
  <c r="N32" i="2"/>
  <c r="D34" i="2"/>
  <c r="E34" i="2"/>
  <c r="F34" i="2"/>
  <c r="G34" i="2"/>
  <c r="H34" i="2"/>
  <c r="I34" i="2"/>
  <c r="J34" i="2"/>
  <c r="K34" i="2"/>
  <c r="L34" i="2"/>
  <c r="M34" i="2"/>
  <c r="N34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E21" i="1"/>
  <c r="G21" i="1"/>
  <c r="J21" i="1"/>
  <c r="O21" i="1"/>
  <c r="Q21" i="1"/>
  <c r="T21" i="1"/>
  <c r="U21" i="1"/>
  <c r="V21" i="1"/>
  <c r="C23" i="1"/>
  <c r="D23" i="1"/>
  <c r="E23" i="1"/>
  <c r="G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D25" i="1"/>
  <c r="E25" i="1"/>
  <c r="J25" i="1"/>
  <c r="L25" i="1"/>
  <c r="M25" i="1"/>
  <c r="O25" i="1"/>
  <c r="Q25" i="1"/>
  <c r="T25" i="1"/>
  <c r="V25" i="1"/>
  <c r="D26" i="1"/>
  <c r="E26" i="1"/>
  <c r="J26" i="1"/>
  <c r="N26" i="1"/>
  <c r="O26" i="1"/>
  <c r="Q26" i="1"/>
  <c r="T26" i="1"/>
  <c r="U26" i="1"/>
  <c r="V26" i="1"/>
  <c r="C27" i="1"/>
  <c r="E27" i="1"/>
  <c r="G27" i="1"/>
  <c r="H27" i="1"/>
  <c r="I27" i="1"/>
  <c r="J27" i="1"/>
  <c r="O27" i="1"/>
  <c r="Q27" i="1"/>
  <c r="T27" i="1"/>
  <c r="V27" i="1"/>
  <c r="D28" i="1"/>
  <c r="E28" i="1"/>
  <c r="J28" i="1"/>
  <c r="L28" i="1"/>
  <c r="O28" i="1"/>
  <c r="Q28" i="1"/>
  <c r="S28" i="1"/>
  <c r="V28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E32" i="1"/>
  <c r="G32" i="1"/>
  <c r="H32" i="1"/>
  <c r="I32" i="1"/>
  <c r="J32" i="1"/>
  <c r="O32" i="1"/>
  <c r="Q32" i="1"/>
  <c r="T32" i="1"/>
  <c r="V32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G36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E40" i="37"/>
  <c r="I40" i="37"/>
  <c r="E41" i="37"/>
  <c r="I41" i="37"/>
  <c r="E42" i="37"/>
  <c r="I42" i="37"/>
  <c r="E44" i="37"/>
  <c r="I44" i="37"/>
  <c r="E47" i="37"/>
  <c r="I47" i="37"/>
  <c r="E48" i="37"/>
  <c r="I48" i="37"/>
  <c r="E50" i="37"/>
  <c r="I50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<sst xmlns="http://schemas.openxmlformats.org/spreadsheetml/2006/main" count="434" uniqueCount="138">
  <si>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</si>
  <si>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</si>
  <si>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</si>
  <si>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</si>
  <si>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</si>
  <si>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</si>
  <si>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</si>
  <si>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</si>
  <si>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</si>
  <si>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</si>
  <si>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</si>
  <si>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</si>
  <si>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</si>
  <si>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</si>
  <si>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</si>
  <si>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</si>
  <si>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</si>
  <si>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</si>
  <si>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</si>
  <si>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</si>
  <si>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</si>
  <si>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</si>
  <si>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</si>
  <si>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</si>
  <si>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</si>
  <si>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</si>
  <si>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</si>
  <si>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</si>
  <si>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</si>
  <si>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</si>
  <si>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</si>
  <si>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</si>
  <si>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</si>
  <si>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</si>
  <si>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</si>
  <si>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</si>
  <si>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</si>
  <si>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</si>
  <si>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</si>
  <si>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</si>
  <si>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</si>
  <si>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</si>
  <si>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</si>
  <si>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</si>
  <si>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</si>
  <si>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</si>
  <si>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</si>
  <si>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</si>
  <si>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</si>
  <si>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</si>
  <si>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</si>
  <si>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</si>
  <si>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</si>
  <si>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</si>
  <si>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</si>
  <si>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</si>
  <si>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</si>
  <si>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</si>
  <si>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</si>
  <si>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</si>
  <si>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</si>
  <si>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</si>
  <si>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</si>
  <si>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</si>
  <si>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</si>
  <si>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</si>
  <si>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</si>
  <si>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</si>
  <si>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</si>
  <si>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</si>
  <si>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</si>
  <si>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</si>
  <si>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</si>
  <si>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</si>
  <si>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</si>
  <si>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</si>
  <si>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</si>
  <si>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</si>
  <si>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</si>
  <si>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</si>
  <si>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</si>
  <si>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</si>
  <si>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</si>
  <si>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</si>
  <si>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</si>
  <si>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</si>
  <si>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</si>
  <si>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</si>
  <si>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</si>
  <si>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</si>
  <si>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</si>
  <si>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</si>
  <si>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</si>
  <si>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</si>
  <si>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</si>
  <si>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</si>
  <si>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</si>
  <si>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</si>
  <si>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</si>
  <si>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</si>
  <si>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</si>
  <si>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</si>
  <si>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</si>
  <si>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</si>
  <si>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</si>
  <si>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</si>
  <si>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</si>
  <si>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</si>
  <si>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</si>
  <si>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</si>
  <si>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</si>
  <si>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</si>
  <si>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</si>
  <si>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</si>
  <si>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</si>
  <si>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</si>
  <si>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</si>
  <si>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</si>
  <si>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</si>
  <si>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</si>
  <si>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</si>
  <si>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</si>
  <si>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</si>
  <si>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</si>
  <si>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</si>
  <si>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</si>
  <si>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</si>
  <si>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</si>
  <si>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</si>
  <si>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</si>
  <si>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</si>
  <si>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</si>
  <si>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Group Cost</t>
  </si>
  <si>
    <t>Coal / Emissions</t>
  </si>
  <si>
    <t>Bahamas / S Florida Outside Services</t>
  </si>
  <si>
    <t>Unplanned McKinsey Petchem studies</t>
  </si>
  <si>
    <t>Noxtech activity</t>
  </si>
  <si>
    <t>Results based on activity through May 18,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</si>
</sst>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7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65" fontId="17" fillId="0" borderId="5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20" fillId="0" borderId="12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7620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6812280" y="76200"/>
          <a:ext cx="21717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99060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6" name="Text Box 8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7" name="Line 9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8" name="Line 10"/>
        <xdr:cNvSpPr>
          <a:spLocks noChangeShapeType="1"/>
        </xdr:cNvSpPr>
      </xdr:nvSpPr>
      <xdr:spPr bwMode="auto">
        <a:xfrm flipH="1">
          <a:off x="2743200" y="99060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9" name="Text Box 1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60" name="Line 12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464820</xdr:colOff>
      <xdr:row>0</xdr:row>
      <xdr:rowOff>30480</xdr:rowOff>
    </xdr:from>
    <xdr:to>
      <xdr:col>21</xdr:col>
      <xdr:colOff>533400</xdr:colOff>
      <xdr:row>2</xdr:row>
      <xdr:rowOff>144780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955280" y="30480"/>
          <a:ext cx="11201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2004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5326380" y="76200"/>
          <a:ext cx="998220" cy="449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975860" y="236220"/>
          <a:ext cx="16383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1</xdr:row>
      <xdr:rowOff>91440</xdr:rowOff>
    </xdr:from>
    <xdr:to>
      <xdr:col>15</xdr:col>
      <xdr:colOff>876300</xdr:colOff>
      <xdr:row>3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486400" y="91440"/>
          <a:ext cx="16611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5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61971.161</v>
          </cell>
          <cell r="I9">
            <v>0</v>
          </cell>
          <cell r="M9">
            <v>7068.2160000000003</v>
          </cell>
          <cell r="N9">
            <v>8595.8335000000006</v>
          </cell>
          <cell r="Q9">
            <v>21971.161</v>
          </cell>
          <cell r="T9">
            <v>-300.44599999999991</v>
          </cell>
          <cell r="U9">
            <v>1386.6084999999985</v>
          </cell>
        </row>
        <row r="10">
          <cell r="C10">
            <v>11250</v>
          </cell>
          <cell r="D10">
            <v>7412.7459999999992</v>
          </cell>
          <cell r="G10">
            <v>15691.583329999999</v>
          </cell>
          <cell r="I10">
            <v>0</v>
          </cell>
          <cell r="M10">
            <v>3584.9830000000002</v>
          </cell>
          <cell r="N10">
            <v>3176.8919999999998</v>
          </cell>
          <cell r="Q10">
            <v>4441.5833299999995</v>
          </cell>
          <cell r="T10">
            <v>428.10999999999967</v>
          </cell>
          <cell r="U10">
            <v>223</v>
          </cell>
        </row>
        <row r="11">
          <cell r="C11">
            <v>2500</v>
          </cell>
          <cell r="D11">
            <v>0</v>
          </cell>
          <cell r="G11">
            <v>4581</v>
          </cell>
          <cell r="I11">
            <v>0</v>
          </cell>
          <cell r="M11">
            <v>0</v>
          </cell>
          <cell r="N11">
            <v>0</v>
          </cell>
          <cell r="Q11">
            <v>2081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-6238.1530000000002</v>
          </cell>
          <cell r="I12">
            <v>0</v>
          </cell>
          <cell r="M12">
            <v>570.50299999999993</v>
          </cell>
          <cell r="N12">
            <v>751.697</v>
          </cell>
          <cell r="Q12">
            <v>-11238.153</v>
          </cell>
          <cell r="T12">
            <v>643.11500000000001</v>
          </cell>
          <cell r="U12">
            <v>119</v>
          </cell>
        </row>
        <row r="13">
          <cell r="C13">
            <v>8509.2510000000002</v>
          </cell>
          <cell r="D13">
            <v>4048.2690000000002</v>
          </cell>
          <cell r="G13">
            <v>8725</v>
          </cell>
          <cell r="I13">
            <v>0</v>
          </cell>
          <cell r="M13">
            <v>1721.3719999999998</v>
          </cell>
          <cell r="N13">
            <v>1164.559</v>
          </cell>
          <cell r="Q13">
            <v>215.7489999999998</v>
          </cell>
          <cell r="T13">
            <v>87.151000000000067</v>
          </cell>
          <cell r="U13">
            <v>1075</v>
          </cell>
        </row>
        <row r="14">
          <cell r="C14">
            <v>4875</v>
          </cell>
          <cell r="D14">
            <v>2615.9789999999998</v>
          </cell>
          <cell r="G14">
            <v>1672.0152800000001</v>
          </cell>
          <cell r="I14">
            <v>0</v>
          </cell>
          <cell r="M14">
            <v>790.13499999999999</v>
          </cell>
          <cell r="N14">
            <v>543.88400000000001</v>
          </cell>
          <cell r="Q14">
            <v>-3202.9847199999999</v>
          </cell>
          <cell r="T14">
            <v>1012.5129999999999</v>
          </cell>
          <cell r="U14">
            <v>269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2364.7780000000002</v>
          </cell>
          <cell r="N15">
            <v>1452.7840000000001</v>
          </cell>
          <cell r="Q15">
            <v>-6718.2430000000004</v>
          </cell>
          <cell r="T15">
            <v>1102.6079999999997</v>
          </cell>
          <cell r="U15">
            <v>625</v>
          </cell>
        </row>
        <row r="16">
          <cell r="C16">
            <v>500</v>
          </cell>
          <cell r="D16">
            <v>633.803</v>
          </cell>
          <cell r="G16">
            <v>40.954000000000001</v>
          </cell>
          <cell r="I16">
            <v>0</v>
          </cell>
          <cell r="M16">
            <v>1615.7969999999998</v>
          </cell>
          <cell r="N16">
            <v>268.63099999999997</v>
          </cell>
          <cell r="Q16">
            <v>-459.04599999999999</v>
          </cell>
          <cell r="T16">
            <v>-1154.0899999999997</v>
          </cell>
          <cell r="U16">
            <v>-96.534999999999968</v>
          </cell>
        </row>
        <row r="17">
          <cell r="C17">
            <v>3000</v>
          </cell>
          <cell r="D17">
            <v>2634.0640000000003</v>
          </cell>
          <cell r="G17">
            <v>1679.991</v>
          </cell>
          <cell r="I17">
            <v>0</v>
          </cell>
          <cell r="M17">
            <v>2763.1289999999999</v>
          </cell>
          <cell r="N17">
            <v>1075.4269999999999</v>
          </cell>
          <cell r="Q17">
            <v>-1320.009</v>
          </cell>
          <cell r="T17">
            <v>-1332.8789999999999</v>
          </cell>
          <cell r="U17">
            <v>128.38700000000017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I18">
            <v>0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-858.5010000000002</v>
          </cell>
          <cell r="D19">
            <v>842.06600000000003</v>
          </cell>
          <cell r="G19">
            <v>-959.67899999999997</v>
          </cell>
          <cell r="I19">
            <v>0</v>
          </cell>
          <cell r="M19">
            <v>428.86399999999998</v>
          </cell>
          <cell r="N19">
            <v>497.16199999999998</v>
          </cell>
          <cell r="Q19">
            <v>-101.17799999999977</v>
          </cell>
          <cell r="T19">
            <v>-156.322</v>
          </cell>
          <cell r="U19">
            <v>72.362000000000023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326.59699999999998</v>
          </cell>
          <cell r="N20">
            <v>97.929000000000002</v>
          </cell>
          <cell r="Q20">
            <v>47.173999999999999</v>
          </cell>
          <cell r="T20">
            <v>385.57299999999998</v>
          </cell>
          <cell r="U20">
            <v>-26.320000000000007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347.05</v>
          </cell>
          <cell r="Q21">
            <v>0</v>
          </cell>
          <cell r="T21">
            <v>11.294999999999959</v>
          </cell>
          <cell r="U21">
            <v>128.21699999999998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30751.066999999999</v>
          </cell>
          <cell r="N25">
            <v>0</v>
          </cell>
          <cell r="Q25">
            <v>0</v>
          </cell>
          <cell r="T25">
            <v>-3344.2510000000002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-18548.317500000001</v>
          </cell>
          <cell r="Q26">
            <v>0</v>
          </cell>
          <cell r="T26">
            <v>-4119.3524999999972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>
        <row r="9">
          <cell r="C9">
            <v>-58250</v>
          </cell>
          <cell r="G9">
            <v>17173.484</v>
          </cell>
        </row>
        <row r="10">
          <cell r="C10">
            <v>1031.90705</v>
          </cell>
          <cell r="G10">
            <v>9728.0159999999996</v>
          </cell>
        </row>
        <row r="11">
          <cell r="C11">
            <v>-1774</v>
          </cell>
          <cell r="G11">
            <v>0</v>
          </cell>
        </row>
        <row r="12">
          <cell r="C12">
            <v>0</v>
          </cell>
          <cell r="G12">
            <v>0</v>
          </cell>
        </row>
        <row r="13">
          <cell r="C13">
            <v>744</v>
          </cell>
          <cell r="G13">
            <v>3240.6319999999996</v>
          </cell>
        </row>
        <row r="14">
          <cell r="C14">
            <v>0</v>
          </cell>
          <cell r="G14">
            <v>3259.8140000000003</v>
          </cell>
        </row>
        <row r="15">
          <cell r="C15">
            <v>-6926</v>
          </cell>
          <cell r="G15">
            <v>6013.2449999999999</v>
          </cell>
        </row>
        <row r="16">
          <cell r="C16">
            <v>90.688720000000004</v>
          </cell>
          <cell r="G16">
            <v>4934.7109999999993</v>
          </cell>
        </row>
        <row r="17">
          <cell r="C17">
            <v>414</v>
          </cell>
          <cell r="G17">
            <v>4122.0959999999995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1261.2240000000002</v>
          </cell>
        </row>
        <row r="21">
          <cell r="C21">
            <v>0</v>
          </cell>
          <cell r="G21">
            <v>0</v>
          </cell>
        </row>
        <row r="25">
          <cell r="C25">
            <v>0</v>
          </cell>
          <cell r="G25">
            <v>28242.490999999998</v>
          </cell>
        </row>
        <row r="26">
          <cell r="C26">
            <v>0</v>
          </cell>
          <cell r="G26">
            <v>-22036.860000000008</v>
          </cell>
        </row>
        <row r="27">
          <cell r="C27">
            <v>0</v>
          </cell>
          <cell r="G27">
            <v>0</v>
          </cell>
        </row>
        <row r="32">
          <cell r="C32">
            <v>0</v>
          </cell>
          <cell r="G32">
            <v>9400</v>
          </cell>
        </row>
      </sheetData>
      <sheetData sheetId="2"/>
      <sheetData sheetId="3"/>
      <sheetData sheetId="4">
        <row r="10">
          <cell r="D10">
            <v>-58250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873</v>
          </cell>
          <cell r="E11">
            <v>232.47763</v>
          </cell>
          <cell r="G11">
            <v>-73.570580000000007</v>
          </cell>
          <cell r="K11">
            <v>0</v>
          </cell>
        </row>
        <row r="12">
          <cell r="D12">
            <v>-1774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744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-8361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2990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-1542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40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-53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59</v>
          </cell>
          <cell r="E23">
            <v>31.68872</v>
          </cell>
          <cell r="G23">
            <v>0</v>
          </cell>
          <cell r="K23">
            <v>0</v>
          </cell>
        </row>
        <row r="24">
          <cell r="D24">
            <v>376</v>
          </cell>
          <cell r="E24">
            <v>0</v>
          </cell>
          <cell r="G24">
            <v>38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</sheetData>
      <sheetData sheetId="5">
        <row r="9">
          <cell r="D9">
            <v>7194.3119999999999</v>
          </cell>
          <cell r="E9">
            <v>6994.3119999999999</v>
          </cell>
        </row>
        <row r="10">
          <cell r="D10">
            <v>5560.9960000000001</v>
          </cell>
          <cell r="E10">
            <v>5360.9960000000001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4357.2929999999997</v>
          </cell>
          <cell r="E16">
            <v>4357.2929999999997</v>
          </cell>
        </row>
        <row r="17">
          <cell r="D17">
            <v>2930.25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787.2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N39" sqref="N39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2" width="7.6640625" style="14" hidden="1" customWidth="1"/>
    <col min="13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5.6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6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33723.695999999996</v>
      </c>
      <c r="E9" s="134">
        <f t="shared" ref="E9:E21" si="0">C9-D9</f>
        <v>38776.304000000004</v>
      </c>
      <c r="F9" s="36"/>
      <c r="G9" s="132">
        <f>+'Mgmt Summary'!G9+'[3]Mgmt Summary'!G9</f>
        <v>-8786.8389999999999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-8786.8389999999999</v>
      </c>
      <c r="K9" s="136"/>
      <c r="L9" s="132"/>
      <c r="M9" s="139">
        <f>+'Mgmt Summary'!M9+'[3]Mgmt Summary'!M9</f>
        <v>14262.528</v>
      </c>
      <c r="N9" s="139">
        <f>+'Mgmt Summary'!N9+'[3]Mgmt Summary'!N9</f>
        <v>18575.005499999999</v>
      </c>
      <c r="O9" s="135">
        <f t="shared" ref="O9:O21" si="2">J9-K9-M9-N9-L9</f>
        <v>-41624.372499999998</v>
      </c>
      <c r="P9" s="37"/>
      <c r="Q9" s="132">
        <f>+'Mgmt Summary'!Q9+'[3]Mgmt Summary'!Q9</f>
        <v>-81286.839000000007</v>
      </c>
      <c r="R9" s="36"/>
      <c r="S9" s="139"/>
      <c r="T9" s="139">
        <f>+'Mgmt Summary'!T9+'[3]Mgmt Summary'!T9</f>
        <v>-500.44599999999991</v>
      </c>
      <c r="U9" s="139">
        <f>+'Mgmt Summary'!U9+'[3]Mgmt Summary'!U9</f>
        <v>1386.6084999999985</v>
      </c>
      <c r="V9" s="134">
        <f>ROUND(SUM(Q9:U9),0)</f>
        <v>-80401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27500</v>
      </c>
      <c r="D10" s="36">
        <f>+'Mgmt Summary'!D10+'[3]Mgmt Summary'!D10</f>
        <v>16940.761999999999</v>
      </c>
      <c r="E10" s="134">
        <f t="shared" si="0"/>
        <v>10559.238000000001</v>
      </c>
      <c r="F10" s="36"/>
      <c r="G10" s="132">
        <f>+'Mgmt Summary'!G10+'[3]Mgmt Summary'!G10</f>
        <v>16450.490379999999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16450.490379999999</v>
      </c>
      <c r="K10" s="136"/>
      <c r="L10" s="132"/>
      <c r="M10" s="139">
        <f>+'Mgmt Summary'!M10+'[3]Mgmt Summary'!M10</f>
        <v>9145.9789999999994</v>
      </c>
      <c r="N10" s="139">
        <f>+'Mgmt Summary'!N10+'[3]Mgmt Summary'!N10</f>
        <v>7343.9120000000003</v>
      </c>
      <c r="O10" s="135">
        <f t="shared" si="2"/>
        <v>-39.400620000000345</v>
      </c>
      <c r="P10" s="37"/>
      <c r="Q10" s="132">
        <f>+'Mgmt Summary'!Q10+'[3]Mgmt Summary'!Q10</f>
        <v>-11049.509620000001</v>
      </c>
      <c r="R10" s="36"/>
      <c r="S10" s="139"/>
      <c r="T10" s="139">
        <f>+'Mgmt Summary'!T10+'[3]Mgmt Summary'!T10</f>
        <v>228.10999999999967</v>
      </c>
      <c r="U10" s="139">
        <f>+'Mgmt Summary'!U10+'[3]Mgmt Summary'!U10</f>
        <v>223</v>
      </c>
      <c r="V10" s="134">
        <f t="shared" ref="V10:V19" si="3">ROUND(SUM(Q10:U10),0)</f>
        <v>-10598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0</v>
      </c>
      <c r="E11" s="134">
        <f t="shared" si="0"/>
        <v>5000</v>
      </c>
      <c r="F11" s="36"/>
      <c r="G11" s="132">
        <f>+'Mgmt Summary'!G11+'[3]Mgmt Summary'!G11</f>
        <v>3211</v>
      </c>
      <c r="H11" s="36">
        <f>GrossMargin!J12</f>
        <v>0</v>
      </c>
      <c r="I11" s="137">
        <f>+'Mgmt Summary'!I11+'[3]Mgmt Summary'!I11</f>
        <v>0</v>
      </c>
      <c r="J11" s="135">
        <f t="shared" si="1"/>
        <v>3211</v>
      </c>
      <c r="K11" s="136"/>
      <c r="L11" s="132"/>
      <c r="M11" s="139">
        <f>+'Mgmt Summary'!M11+'[3]Mgmt Summary'!M11</f>
        <v>0</v>
      </c>
      <c r="N11" s="139">
        <f>+'Mgmt Summary'!N11+'[3]Mgmt Summary'!N11</f>
        <v>0</v>
      </c>
      <c r="O11" s="135">
        <f t="shared" si="2"/>
        <v>3211</v>
      </c>
      <c r="P11" s="37"/>
      <c r="Q11" s="132">
        <f>+'Mgmt Summary'!Q11+'[3]Mgmt Summary'!Q11</f>
        <v>-1789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-1789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5000</v>
      </c>
      <c r="D12" s="36">
        <f>+'Mgmt Summary'!D12+'[3]Mgmt Summary'!D12</f>
        <v>2084.375</v>
      </c>
      <c r="E12" s="134">
        <f t="shared" si="0"/>
        <v>2915.625</v>
      </c>
      <c r="F12" s="36"/>
      <c r="G12" s="132">
        <f>+'Mgmt Summary'!G12+'[3]Mgmt Summary'!G12</f>
        <v>-6238.1530000000002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-6238.1530000000002</v>
      </c>
      <c r="K12" s="136"/>
      <c r="L12" s="132"/>
      <c r="M12" s="139">
        <f>+'Mgmt Summary'!M12+'[3]Mgmt Summary'!M12</f>
        <v>570.50299999999993</v>
      </c>
      <c r="N12" s="139">
        <f>+'Mgmt Summary'!N12+'[3]Mgmt Summary'!N12</f>
        <v>751.697</v>
      </c>
      <c r="O12" s="135">
        <f t="shared" si="2"/>
        <v>-7560.3530000000001</v>
      </c>
      <c r="P12" s="37"/>
      <c r="Q12" s="132">
        <f>+'Mgmt Summary'!Q12+'[3]Mgmt Summary'!Q12</f>
        <v>-11238.153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119</v>
      </c>
      <c r="V12" s="134">
        <f t="shared" si="3"/>
        <v>-10476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7288.9009999999998</v>
      </c>
      <c r="E13" s="134">
        <f t="shared" si="0"/>
        <v>8299.1689999999999</v>
      </c>
      <c r="F13" s="36"/>
      <c r="G13" s="132">
        <f>+'Mgmt Summary'!G13+'[3]Mgmt Summary'!G13</f>
        <v>8949</v>
      </c>
      <c r="H13" s="36">
        <f>GrossMargin!J14</f>
        <v>0</v>
      </c>
      <c r="I13" s="137">
        <f>+'Mgmt Summary'!I13+'[3]Mgmt Summary'!I13</f>
        <v>0</v>
      </c>
      <c r="J13" s="135">
        <f t="shared" si="1"/>
        <v>8949</v>
      </c>
      <c r="K13" s="136"/>
      <c r="L13" s="132"/>
      <c r="M13" s="139">
        <f>+'Mgmt Summary'!M13+'[3]Mgmt Summary'!M13</f>
        <v>3184.3789999999999</v>
      </c>
      <c r="N13" s="139">
        <f>+'Mgmt Summary'!N13+'[3]Mgmt Summary'!N13</f>
        <v>2942.1839999999997</v>
      </c>
      <c r="O13" s="135">
        <f t="shared" si="2"/>
        <v>2822.4370000000004</v>
      </c>
      <c r="P13" s="37"/>
      <c r="Q13" s="132">
        <f>+'Mgmt Summary'!Q13+'[3]Mgmt Summary'!Q13</f>
        <v>-6639.07</v>
      </c>
      <c r="R13" s="36"/>
      <c r="S13" s="139"/>
      <c r="T13" s="139">
        <f>+'Mgmt Summary'!T13+'[3]Mgmt Summary'!T13</f>
        <v>87.151000000000067</v>
      </c>
      <c r="U13" s="139">
        <f>+'Mgmt Summary'!U13+'[3]Mgmt Summary'!U13</f>
        <v>1075</v>
      </c>
      <c r="V13" s="134">
        <f t="shared" si="3"/>
        <v>-5477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5875.7929999999997</v>
      </c>
      <c r="E14" s="134">
        <f t="shared" si="0"/>
        <v>10874.207</v>
      </c>
      <c r="F14" s="36"/>
      <c r="G14" s="132">
        <f>+'Mgmt Summary'!G14+'[3]Mgmt Summary'!G14</f>
        <v>2320.0152800000001</v>
      </c>
      <c r="H14" s="36">
        <f>GrossMargin!J15</f>
        <v>0</v>
      </c>
      <c r="I14" s="137">
        <f>+'Mgmt Summary'!I14+'[3]Mgmt Summary'!I14</f>
        <v>0</v>
      </c>
      <c r="J14" s="135">
        <f t="shared" si="1"/>
        <v>2320.0152800000001</v>
      </c>
      <c r="K14" s="136"/>
      <c r="L14" s="132"/>
      <c r="M14" s="139">
        <f>+'Mgmt Summary'!M14+'[3]Mgmt Summary'!M14</f>
        <v>3094.2560000000003</v>
      </c>
      <c r="N14" s="139">
        <f>+'Mgmt Summary'!N14+'[3]Mgmt Summary'!N14</f>
        <v>1499.577</v>
      </c>
      <c r="O14" s="135">
        <f t="shared" si="2"/>
        <v>-2273.81772</v>
      </c>
      <c r="P14" s="37"/>
      <c r="Q14" s="132">
        <f>+'Mgmt Summary'!Q14+'[3]Mgmt Summary'!Q14</f>
        <v>-14429.98472</v>
      </c>
      <c r="R14" s="36"/>
      <c r="S14" s="139"/>
      <c r="T14" s="139">
        <f>+'Mgmt Summary'!T14+'[3]Mgmt Summary'!T14</f>
        <v>1012.5129999999999</v>
      </c>
      <c r="U14" s="139">
        <f>+'Mgmt Summary'!U14+'[3]Mgmt Summary'!U14</f>
        <v>269</v>
      </c>
      <c r="V14" s="134">
        <f t="shared" si="3"/>
        <v>-13148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11558.638999999999</v>
      </c>
      <c r="E15" s="134">
        <f t="shared" si="0"/>
        <v>35941.361000000004</v>
      </c>
      <c r="F15" s="36"/>
      <c r="G15" s="132">
        <f>+'Mgmt Summary'!G15+'[3]Mgmt Summary'!G15</f>
        <v>3020.7569999999996</v>
      </c>
      <c r="H15" s="36">
        <f>GrossMargin!J16</f>
        <v>0</v>
      </c>
      <c r="I15" s="137">
        <f>+'Mgmt Summary'!I15+'[3]Mgmt Summary'!I15</f>
        <v>0</v>
      </c>
      <c r="J15" s="135">
        <f t="shared" si="1"/>
        <v>3020.7569999999996</v>
      </c>
      <c r="K15" s="136"/>
      <c r="L15" s="132"/>
      <c r="M15" s="139">
        <f>+'Mgmt Summary'!M15+'[3]Mgmt Summary'!M15</f>
        <v>6107.3919999999998</v>
      </c>
      <c r="N15" s="139">
        <f>+'Mgmt Summary'!N15+'[3]Mgmt Summary'!N15</f>
        <v>3723.415</v>
      </c>
      <c r="O15" s="135">
        <f t="shared" si="2"/>
        <v>-6810.05</v>
      </c>
      <c r="P15" s="37"/>
      <c r="Q15" s="132">
        <f>+'Mgmt Summary'!Q15+'[3]Mgmt Summary'!Q15</f>
        <v>-44479.243000000002</v>
      </c>
      <c r="R15" s="36"/>
      <c r="S15" s="139"/>
      <c r="T15" s="139">
        <f>+'Mgmt Summary'!T15+'[3]Mgmt Summary'!T15</f>
        <v>1102.6079999999997</v>
      </c>
      <c r="U15" s="139">
        <f>+'Mgmt Summary'!U15+'[3]Mgmt Summary'!U15</f>
        <v>625</v>
      </c>
      <c r="V15" s="134">
        <f t="shared" si="3"/>
        <v>-42752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5568.5139999999992</v>
      </c>
      <c r="E16" s="134">
        <f t="shared" si="0"/>
        <v>-3757.5139999999992</v>
      </c>
      <c r="F16" s="36"/>
      <c r="G16" s="132">
        <f>+'Mgmt Summary'!G16+'[3]Mgmt Summary'!G16</f>
        <v>128.32532</v>
      </c>
      <c r="H16" s="36">
        <f>GrossMargin!J17</f>
        <v>0</v>
      </c>
      <c r="I16" s="137">
        <f>+'Mgmt Summary'!I16+'[3]Mgmt Summary'!I16</f>
        <v>0</v>
      </c>
      <c r="J16" s="135">
        <f t="shared" si="1"/>
        <v>128.32532</v>
      </c>
      <c r="K16" s="136"/>
      <c r="L16" s="132"/>
      <c r="M16" s="139">
        <f>+'Mgmt Summary'!M16+'[3]Mgmt Summary'!M16</f>
        <v>5973.0899999999992</v>
      </c>
      <c r="N16" s="139">
        <f>+'Mgmt Summary'!N16+'[3]Mgmt Summary'!N16</f>
        <v>846.04899999999998</v>
      </c>
      <c r="O16" s="135">
        <f t="shared" si="2"/>
        <v>-6690.8136799999993</v>
      </c>
      <c r="P16" s="37"/>
      <c r="Q16" s="132">
        <f>+'Mgmt Summary'!Q16+'[3]Mgmt Summary'!Q16</f>
        <v>-1682.6746800000001</v>
      </c>
      <c r="R16" s="36"/>
      <c r="S16" s="139"/>
      <c r="T16" s="139">
        <f>+'Mgmt Summary'!T16+'[3]Mgmt Summary'!T16</f>
        <v>-1154.0899999999997</v>
      </c>
      <c r="U16" s="139">
        <f>+'Mgmt Summary'!U16+'[3]Mgmt Summary'!U16</f>
        <v>-96.534999999999968</v>
      </c>
      <c r="V16" s="134">
        <f t="shared" si="3"/>
        <v>-2933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5256.16</v>
      </c>
      <c r="E17" s="134">
        <f t="shared" si="0"/>
        <v>2743.84</v>
      </c>
      <c r="F17" s="36"/>
      <c r="G17" s="132">
        <f>+'Mgmt Summary'!G17+'[3]Mgmt Summary'!G17</f>
        <v>2093.991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2093.991</v>
      </c>
      <c r="K17" s="136"/>
      <c r="L17" s="132"/>
      <c r="M17" s="139">
        <f>+'Mgmt Summary'!M17+'[3]Mgmt Summary'!M17</f>
        <v>5693.3789999999999</v>
      </c>
      <c r="N17" s="139">
        <f>+'Mgmt Summary'!N17+'[3]Mgmt Summary'!N17</f>
        <v>2267.2730000000001</v>
      </c>
      <c r="O17" s="135">
        <f t="shared" si="2"/>
        <v>-5866.6610000000001</v>
      </c>
      <c r="P17" s="37"/>
      <c r="Q17" s="132">
        <f>+'Mgmt Summary'!Q17+'[3]Mgmt Summary'!Q17</f>
        <v>-5906.009</v>
      </c>
      <c r="R17" s="36"/>
      <c r="S17" s="139"/>
      <c r="T17" s="139">
        <f>+'Mgmt Summary'!T17+'[3]Mgmt Summary'!T17</f>
        <v>-2832.8789999999999</v>
      </c>
      <c r="U17" s="139">
        <f>+'Mgmt Summary'!U17+'[3]Mgmt Summary'!U17</f>
        <v>128.38700000000017</v>
      </c>
      <c r="V17" s="134">
        <f t="shared" si="3"/>
        <v>-8611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168.79400000000001</v>
      </c>
      <c r="H18" s="36">
        <f>GrossMargin!J19</f>
        <v>0</v>
      </c>
      <c r="I18" s="137">
        <f>+'[3]Mgmt Summary'!I18</f>
        <v>0</v>
      </c>
      <c r="J18" s="135">
        <f t="shared" si="1"/>
        <v>168.79400000000001</v>
      </c>
      <c r="K18" s="136"/>
      <c r="L18" s="132"/>
      <c r="M18" s="139">
        <f>+'[3]Mgmt Summary'!M18</f>
        <v>1557.3020000000001</v>
      </c>
      <c r="N18" s="139">
        <f>+'[3]Mgmt Summary'!N18</f>
        <v>576.46900000000005</v>
      </c>
      <c r="O18" s="135">
        <f t="shared" si="2"/>
        <v>-1964.9770000000001</v>
      </c>
      <c r="P18" s="37"/>
      <c r="Q18" s="132">
        <f>+'[3]Mgmt Summary'!Q18</f>
        <v>-1244.2059999999999</v>
      </c>
      <c r="R18" s="36"/>
      <c r="S18" s="139"/>
      <c r="T18" s="139">
        <f>+'[3]Mgmt Summary'!T18</f>
        <v>-747.80200000000013</v>
      </c>
      <c r="U18" s="139">
        <f>+'[3]Mgmt Summary'!U18</f>
        <v>214.95399999999995</v>
      </c>
      <c r="V18" s="134">
        <f t="shared" si="3"/>
        <v>-1777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-2404.6790000000001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-2404.6790000000001</v>
      </c>
      <c r="K19" s="136"/>
      <c r="L19" s="132"/>
      <c r="M19" s="139">
        <f>+'Mgmt Summary'!M18+'[3]Mgmt Summary'!M19</f>
        <v>731.14499999999998</v>
      </c>
      <c r="N19" s="139">
        <f>+'Mgmt Summary'!N18+'[3]Mgmt Summary'!N19</f>
        <v>1070.2270000000001</v>
      </c>
      <c r="O19" s="135">
        <f t="shared" si="2"/>
        <v>-4206.0510000000004</v>
      </c>
      <c r="P19" s="37"/>
      <c r="Q19" s="132">
        <f>+'Mgmt Summary'!Q18+'[3]Mgmt Summary'!Q19</f>
        <v>-2918.6769999999997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-156.322</v>
      </c>
      <c r="U19" s="139">
        <f>+'Mgmt Summary'!U18+'[3]Mgmt Summary'!U19</f>
        <v>72.362000000000023</v>
      </c>
      <c r="V19" s="134">
        <f t="shared" si="3"/>
        <v>-3003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GrossMargin!J28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1022.463</v>
      </c>
      <c r="N20" s="139">
        <f>+'Mgmt Summary'!N19+'[3]Mgmt Summary'!N20</f>
        <v>168.29500000000002</v>
      </c>
      <c r="O20" s="135">
        <f t="shared" si="2"/>
        <v>-1143.5840000000001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385.57299999999998</v>
      </c>
      <c r="U20" s="139">
        <f>+'Mgmt Summary'!U19+'[3]Mgmt Summary'!U20</f>
        <v>-26.320000000000007</v>
      </c>
      <c r="V20" s="134">
        <f>ROUND(SUM(Q20:U20),0)</f>
        <v>406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GrossMargin!J29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821.07400000000007</v>
      </c>
      <c r="O21" s="135">
        <f t="shared" si="2"/>
        <v>-2130.348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128.21699999999998</v>
      </c>
      <c r="V21" s="134">
        <f>ROUND(SUM(Q21:U21),0)</f>
        <v>-110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95185.045999999988</v>
      </c>
      <c r="E23" s="45">
        <f>SUM(E9:E22)</f>
        <v>106391.022</v>
      </c>
      <c r="F23" s="36" t="e">
        <f>SUM(#REF!)</f>
        <v>#REF!</v>
      </c>
      <c r="G23" s="43">
        <f t="shared" ref="G23:O23" si="4">SUM(G9:G22)</f>
        <v>18959.875980000001</v>
      </c>
      <c r="H23" s="44">
        <f t="shared" si="4"/>
        <v>0</v>
      </c>
      <c r="I23" s="44">
        <f t="shared" si="4"/>
        <v>0</v>
      </c>
      <c r="J23" s="46">
        <f t="shared" si="4"/>
        <v>18959.875980000001</v>
      </c>
      <c r="K23" s="44">
        <f t="shared" si="4"/>
        <v>0</v>
      </c>
      <c r="L23" s="43">
        <f t="shared" si="4"/>
        <v>0</v>
      </c>
      <c r="M23" s="44">
        <f t="shared" si="4"/>
        <v>52651.689999999995</v>
      </c>
      <c r="N23" s="44">
        <f t="shared" si="4"/>
        <v>40585.177499999998</v>
      </c>
      <c r="O23" s="46">
        <f t="shared" si="4"/>
        <v>-74276.99152000001</v>
      </c>
      <c r="P23" s="37"/>
      <c r="Q23" s="43">
        <f t="shared" ref="Q23:V23" si="5">SUM(Q9:Q22)</f>
        <v>-182616.19202000002</v>
      </c>
      <c r="R23" s="44">
        <f t="shared" si="5"/>
        <v>0</v>
      </c>
      <c r="S23" s="44">
        <f t="shared" si="5"/>
        <v>0</v>
      </c>
      <c r="T23" s="44">
        <f t="shared" si="5"/>
        <v>-2171.1740000000004</v>
      </c>
      <c r="U23" s="44">
        <f t="shared" si="5"/>
        <v>4118.673499999999</v>
      </c>
      <c r="V23" s="45">
        <f t="shared" si="5"/>
        <v>-180669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55649.307000000001</v>
      </c>
      <c r="E25" s="134">
        <f>C25-D25</f>
        <v>-55649.307000000001</v>
      </c>
      <c r="F25" s="36"/>
      <c r="G25" s="132">
        <f>+'Mgmt Summary'!G25+'[3]Mgmt Summary'!G25</f>
        <v>0</v>
      </c>
      <c r="H25" s="36">
        <f>GrossMargin!J33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58993.557999999997</v>
      </c>
      <c r="N25" s="139">
        <f>+'Mgmt Summary'!N25+'[3]Mgmt Summary'!N25</f>
        <v>0</v>
      </c>
      <c r="O25" s="135">
        <f>J25-K25-M25-N25-L25</f>
        <v>-58993.557999999997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-3344.2510000000002</v>
      </c>
      <c r="U25" s="139">
        <f>+'Mgmt Summary'!U25+'[3]Mgmt Summary'!U25</f>
        <v>0</v>
      </c>
      <c r="V25" s="134">
        <f>ROUND(SUM(Q25:U25),0)</f>
        <v>-3344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-44704.530000000006</v>
      </c>
      <c r="E26" s="134">
        <f>C26-D26</f>
        <v>44704.530000000006</v>
      </c>
      <c r="F26" s="36"/>
      <c r="G26" s="132">
        <f>+'Mgmt Summary'!G26+'[3]Mgmt Summary'!G26</f>
        <v>0</v>
      </c>
      <c r="H26" s="36">
        <f>GrossMargin!J34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-40585.177500000005</v>
      </c>
      <c r="O26" s="135">
        <f>J26-K26-M26-N26-L26</f>
        <v>40585.177500000005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-4119.3524999999972</v>
      </c>
      <c r="U26" s="139">
        <f>+'Mgmt Summary'!U26+'[3]Mgmt Summary'!U26</f>
        <v>0</v>
      </c>
      <c r="V26" s="134">
        <f>ROUND(SUM(Q26:U26),0)</f>
        <v>-4119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-500</v>
      </c>
      <c r="D27" s="36">
        <f>+'Mgmt Summary'!D27+'[3]Mgmt Summary'!D27</f>
        <v>0</v>
      </c>
      <c r="E27" s="134">
        <f>C27-D27</f>
        <v>-500</v>
      </c>
      <c r="F27" s="36"/>
      <c r="G27" s="132">
        <f>+'Mgmt Summary'!G27+'[3]Mgmt Summary'!G27</f>
        <v>-281.11799999999999</v>
      </c>
      <c r="H27" s="36">
        <f>GrossMargin!J35</f>
        <v>0</v>
      </c>
      <c r="I27" s="137">
        <f>+'Mgmt Summary'!I27+'[3]Mgmt Summary'!I27</f>
        <v>0</v>
      </c>
      <c r="J27" s="135">
        <f>SUM(G27:I27)</f>
        <v>-281.11799999999999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-281.11799999999999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201076.068</v>
      </c>
      <c r="D30" s="44">
        <f>SUM(D23:D29)</f>
        <v>106129.823</v>
      </c>
      <c r="E30" s="45">
        <f>SUM(E23:E29)</f>
        <v>94946.244999999995</v>
      </c>
      <c r="F30" s="36"/>
      <c r="G30" s="43">
        <f t="shared" ref="G30:N30" si="6">SUM(G23:G29)</f>
        <v>18678.757980000002</v>
      </c>
      <c r="H30" s="44">
        <f t="shared" si="6"/>
        <v>0</v>
      </c>
      <c r="I30" s="44">
        <f t="shared" si="6"/>
        <v>0</v>
      </c>
      <c r="J30" s="46">
        <f t="shared" si="6"/>
        <v>18678.757980000002</v>
      </c>
      <c r="K30" s="44">
        <f t="shared" si="6"/>
        <v>0</v>
      </c>
      <c r="L30" s="43">
        <f t="shared" si="6"/>
        <v>0</v>
      </c>
      <c r="M30" s="44">
        <f t="shared" si="6"/>
        <v>111645.24799999999</v>
      </c>
      <c r="N30" s="44">
        <f t="shared" si="6"/>
        <v>-7.2759576141834259E-12</v>
      </c>
      <c r="O30" s="46">
        <f>J30-K30-M30-N30-L30</f>
        <v>-92966.490019999997</v>
      </c>
      <c r="P30" s="37"/>
      <c r="Q30" s="43">
        <f t="shared" ref="Q30:V30" si="7">SUM(Q23:Q29)</f>
        <v>-182397.31002</v>
      </c>
      <c r="R30" s="44">
        <f t="shared" si="7"/>
        <v>0</v>
      </c>
      <c r="S30" s="44">
        <f t="shared" si="7"/>
        <v>0</v>
      </c>
      <c r="T30" s="44">
        <f t="shared" si="7"/>
        <v>-9634.7774999999983</v>
      </c>
      <c r="U30" s="44">
        <f t="shared" si="7"/>
        <v>4118.673499999999</v>
      </c>
      <c r="V30" s="45">
        <f t="shared" si="7"/>
        <v>-187913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7208</v>
      </c>
      <c r="E32" s="134">
        <f>C32-D32</f>
        <v>-7208</v>
      </c>
      <c r="F32" s="36"/>
      <c r="G32" s="132">
        <f>+'Mgmt Summary'!G32+'[2]YTD Mgmt Summary'!G32</f>
        <v>0</v>
      </c>
      <c r="H32" s="36">
        <f>GrossMargin!J40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9708</v>
      </c>
      <c r="N32" s="139">
        <f>+'Mgmt Summary'!N32+'[2]YTD Mgmt Summary'!N32</f>
        <v>0</v>
      </c>
      <c r="O32" s="135">
        <f>J32-K32-M32-N32-L32</f>
        <v>-9708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-2500</v>
      </c>
      <c r="U32" s="139">
        <f>+'Mgmt Summary'!U32+'[2]YTD Mgmt Summary'!U32</f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201076.068</v>
      </c>
      <c r="D34" s="40">
        <f>SUM(D30:D32)</f>
        <v>113337.823</v>
      </c>
      <c r="E34" s="41">
        <f>SUM(E30:E32)</f>
        <v>87738.244999999995</v>
      </c>
      <c r="F34" s="36"/>
      <c r="G34" s="39">
        <f t="shared" ref="G34:V34" si="8">SUM(G30:G32)</f>
        <v>18678.757980000002</v>
      </c>
      <c r="H34" s="40">
        <f t="shared" si="8"/>
        <v>0</v>
      </c>
      <c r="I34" s="40">
        <f t="shared" si="8"/>
        <v>0</v>
      </c>
      <c r="J34" s="42">
        <f t="shared" si="8"/>
        <v>18678.757980000002</v>
      </c>
      <c r="K34" s="40">
        <f t="shared" si="8"/>
        <v>0</v>
      </c>
      <c r="L34" s="39">
        <f t="shared" si="8"/>
        <v>0</v>
      </c>
      <c r="M34" s="40">
        <f t="shared" si="8"/>
        <v>121353.24799999999</v>
      </c>
      <c r="N34" s="40">
        <f t="shared" si="8"/>
        <v>-7.2759576141834259E-12</v>
      </c>
      <c r="O34" s="42">
        <f>J34-K34-M34-N34-L34</f>
        <v>-102674.49002</v>
      </c>
      <c r="P34" s="37"/>
      <c r="Q34" s="39">
        <f t="shared" si="8"/>
        <v>-182397.31002</v>
      </c>
      <c r="R34" s="40">
        <f t="shared" si="8"/>
        <v>0</v>
      </c>
      <c r="S34" s="40">
        <f t="shared" si="8"/>
        <v>0</v>
      </c>
      <c r="T34" s="40">
        <f t="shared" si="8"/>
        <v>-12134.777499999998</v>
      </c>
      <c r="U34" s="40">
        <f t="shared" si="8"/>
        <v>4118.673499999999</v>
      </c>
      <c r="V34" s="41">
        <f t="shared" si="8"/>
        <v>-190413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8" hidden="1">
      <c r="A36" s="66"/>
      <c r="C36" s="67"/>
      <c r="D36" s="23"/>
      <c r="E36" s="66" t="s">
        <v>52</v>
      </c>
      <c r="F36" s="23"/>
      <c r="G36" s="68">
        <f>+'GM-WeeklyChnge'!C39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zoomScale="95" workbookViewId="0">
      <selection activeCell="H32" sqref="H32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1" width="9.5546875" style="14" bestFit="1" customWidth="1"/>
    <col min="12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89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May 18,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7" t="s">
        <v>85</v>
      </c>
      <c r="L6" s="318"/>
      <c r="M6" s="319"/>
      <c r="N6" s="284"/>
      <c r="O6" s="317" t="s">
        <v>110</v>
      </c>
      <c r="P6" s="318"/>
      <c r="Q6" s="319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-70758</v>
      </c>
      <c r="D9" s="223">
        <f>+'Mgmt Summary'!C9</f>
        <v>32500</v>
      </c>
      <c r="E9" s="224">
        <f t="shared" ref="E9:E20" si="0">-D9+C9</f>
        <v>-103258</v>
      </c>
      <c r="F9" s="225"/>
      <c r="G9" s="222">
        <f>+'Mgmt Summary'!M9+'Mgmt Summary'!N9</f>
        <v>17173.484</v>
      </c>
      <c r="H9" s="223">
        <f>+'Mgmt Summary'!D9</f>
        <v>16973.484</v>
      </c>
      <c r="I9" s="224">
        <f t="shared" ref="I9:I16" si="1">+H9-G9</f>
        <v>-200</v>
      </c>
      <c r="J9" s="225"/>
      <c r="K9" s="222">
        <f>+C9-G9</f>
        <v>-87931.483999999997</v>
      </c>
      <c r="L9" s="223">
        <f t="shared" ref="K9:L20" si="2">D9-H9</f>
        <v>15526.516</v>
      </c>
      <c r="M9" s="224">
        <f t="shared" ref="M9:M20" si="3">K9-L9</f>
        <v>-103458</v>
      </c>
      <c r="N9" s="286"/>
      <c r="O9" s="222">
        <f>+C9-'[4]QTD Mgmt Summary'!C9</f>
        <v>-12508</v>
      </c>
      <c r="P9" s="223">
        <f>+'[4]QTD Mgmt Summary'!G9-G9</f>
        <v>0</v>
      </c>
      <c r="Q9" s="224">
        <f t="shared" ref="Q9:Q14" si="4">+O9+P9</f>
        <v>-12508</v>
      </c>
    </row>
    <row r="10" spans="1:22" s="32" customFormat="1" ht="13.5" customHeight="1">
      <c r="A10" s="220" t="s">
        <v>133</v>
      </c>
      <c r="B10" s="221"/>
      <c r="C10" s="222">
        <f>+'Mgmt Summary'!J10</f>
        <v>758.90705000000003</v>
      </c>
      <c r="D10" s="223">
        <f>+'Mgmt Summary'!C10</f>
        <v>16250</v>
      </c>
      <c r="E10" s="224">
        <f t="shared" si="0"/>
        <v>-15491.09295</v>
      </c>
      <c r="F10" s="225"/>
      <c r="G10" s="222">
        <f>+'Mgmt Summary'!M10+'Mgmt Summary'!N10</f>
        <v>9728.0159999999996</v>
      </c>
      <c r="H10" s="223">
        <f>+'Mgmt Summary'!D10</f>
        <v>9528.0159999999996</v>
      </c>
      <c r="I10" s="224">
        <f t="shared" si="1"/>
        <v>-200</v>
      </c>
      <c r="J10" s="225"/>
      <c r="K10" s="222">
        <f t="shared" si="2"/>
        <v>-8969.1089499999998</v>
      </c>
      <c r="L10" s="223">
        <f t="shared" si="2"/>
        <v>6721.9840000000004</v>
      </c>
      <c r="M10" s="224">
        <f t="shared" si="3"/>
        <v>-15691.09295</v>
      </c>
      <c r="N10" s="286"/>
      <c r="O10" s="222">
        <f>+C10-'[4]QTD Mgmt Summary'!C10</f>
        <v>-273</v>
      </c>
      <c r="P10" s="223">
        <f>+'[4]QTD Mgmt Summary'!G10-G10</f>
        <v>0</v>
      </c>
      <c r="Q10" s="224">
        <f t="shared" si="4"/>
        <v>-273</v>
      </c>
    </row>
    <row r="11" spans="1:22" s="32" customFormat="1" ht="13.5" customHeight="1">
      <c r="A11" s="220" t="s">
        <v>122</v>
      </c>
      <c r="B11" s="221"/>
      <c r="C11" s="222">
        <f>+'Mgmt Summary'!J11</f>
        <v>-1370</v>
      </c>
      <c r="D11" s="223">
        <f>+'Mgmt Summary'!C11</f>
        <v>2500</v>
      </c>
      <c r="E11" s="224">
        <f t="shared" si="0"/>
        <v>-3870</v>
      </c>
      <c r="F11" s="225"/>
      <c r="G11" s="222">
        <f>+'Mgmt Summary'!M11+'Mgmt Summary'!N11</f>
        <v>0</v>
      </c>
      <c r="H11" s="223">
        <f>+'Mgmt Summary'!D11</f>
        <v>0</v>
      </c>
      <c r="I11" s="224">
        <f t="shared" si="1"/>
        <v>0</v>
      </c>
      <c r="J11" s="225"/>
      <c r="K11" s="222">
        <f>C11-G11</f>
        <v>-1370</v>
      </c>
      <c r="L11" s="223">
        <f>D11-H11</f>
        <v>2500</v>
      </c>
      <c r="M11" s="224">
        <f t="shared" si="3"/>
        <v>-3870</v>
      </c>
      <c r="N11" s="286"/>
      <c r="O11" s="222">
        <f>+C11-'[4]QTD Mgmt Summary'!C11</f>
        <v>404</v>
      </c>
      <c r="P11" s="223">
        <f>+'[4]QTD Mgmt Summary'!G11-G11</f>
        <v>0</v>
      </c>
      <c r="Q11" s="224">
        <f t="shared" si="4"/>
        <v>404</v>
      </c>
    </row>
    <row r="12" spans="1:22" s="32" customFormat="1" ht="13.5" hidden="1" customHeight="1">
      <c r="A12" s="220" t="s">
        <v>43</v>
      </c>
      <c r="B12" s="221"/>
      <c r="C12" s="222">
        <f>+'Mgmt Summary'!J12</f>
        <v>0</v>
      </c>
      <c r="D12" s="223">
        <f>+'Mgmt Summary'!C12</f>
        <v>0</v>
      </c>
      <c r="E12" s="224">
        <f t="shared" si="0"/>
        <v>0</v>
      </c>
      <c r="F12" s="225"/>
      <c r="G12" s="222">
        <f>+'Mgmt Summary'!M12+'Mgmt Summary'!N12</f>
        <v>0</v>
      </c>
      <c r="H12" s="223">
        <f>+'Mgmt Summary'!D12</f>
        <v>0</v>
      </c>
      <c r="I12" s="224">
        <f t="shared" si="1"/>
        <v>0</v>
      </c>
      <c r="J12" s="225"/>
      <c r="K12" s="222">
        <f t="shared" si="2"/>
        <v>0</v>
      </c>
      <c r="L12" s="223">
        <f t="shared" si="2"/>
        <v>0</v>
      </c>
      <c r="M12" s="224">
        <f t="shared" si="3"/>
        <v>0</v>
      </c>
      <c r="N12" s="286"/>
      <c r="O12" s="222">
        <f>+C12-'[4]QTD Mgmt Summary'!C12</f>
        <v>0</v>
      </c>
      <c r="P12" s="223">
        <f>+'[4]QTD Mgmt Summary'!G12-G12</f>
        <v>0</v>
      </c>
      <c r="Q12" s="224">
        <f t="shared" si="4"/>
        <v>0</v>
      </c>
    </row>
    <row r="13" spans="1:22" s="32" customFormat="1" ht="13.5" customHeight="1">
      <c r="A13" s="220" t="s">
        <v>63</v>
      </c>
      <c r="B13" s="221"/>
      <c r="C13" s="222">
        <f>+'Mgmt Summary'!J13</f>
        <v>224</v>
      </c>
      <c r="D13" s="223">
        <f>+'Mgmt Summary'!C13</f>
        <v>7078.8189999999995</v>
      </c>
      <c r="E13" s="224">
        <f t="shared" si="0"/>
        <v>-6854.8189999999995</v>
      </c>
      <c r="F13" s="225"/>
      <c r="G13" s="222">
        <f>+'Mgmt Summary'!M13+'Mgmt Summary'!N13</f>
        <v>3240.6319999999996</v>
      </c>
      <c r="H13" s="223">
        <f>+'Mgmt Summary'!D13</f>
        <v>3240.6319999999996</v>
      </c>
      <c r="I13" s="224">
        <f t="shared" si="1"/>
        <v>0</v>
      </c>
      <c r="J13" s="225"/>
      <c r="K13" s="222">
        <f t="shared" si="2"/>
        <v>-3016.6319999999996</v>
      </c>
      <c r="L13" s="223">
        <f t="shared" si="2"/>
        <v>3838.1869999999999</v>
      </c>
      <c r="M13" s="224">
        <f t="shared" si="3"/>
        <v>-6854.8189999999995</v>
      </c>
      <c r="N13" s="286"/>
      <c r="O13" s="222">
        <f>+C13-'[4]QTD Mgmt Summary'!C13</f>
        <v>-520</v>
      </c>
      <c r="P13" s="223">
        <f>+'[4]QTD Mgmt Summary'!G13-G13</f>
        <v>0</v>
      </c>
      <c r="Q13" s="224">
        <f t="shared" si="4"/>
        <v>-520</v>
      </c>
    </row>
    <row r="14" spans="1:22" s="32" customFormat="1" ht="13.5" customHeight="1">
      <c r="A14" s="220" t="s">
        <v>70</v>
      </c>
      <c r="B14" s="221"/>
      <c r="C14" s="222">
        <f>+'Mgmt Summary'!J14</f>
        <v>648</v>
      </c>
      <c r="D14" s="223">
        <f>+'Mgmt Summary'!C14</f>
        <v>11875</v>
      </c>
      <c r="E14" s="224">
        <f t="shared" si="0"/>
        <v>-11227</v>
      </c>
      <c r="F14" s="225"/>
      <c r="G14" s="222">
        <f>+'Mgmt Summary'!M14+'Mgmt Summary'!N14</f>
        <v>3259.8140000000003</v>
      </c>
      <c r="H14" s="223">
        <f>+'Mgmt Summary'!D14</f>
        <v>3259.8140000000003</v>
      </c>
      <c r="I14" s="224">
        <f t="shared" si="1"/>
        <v>0</v>
      </c>
      <c r="J14" s="225"/>
      <c r="K14" s="222">
        <f t="shared" si="2"/>
        <v>-2611.8140000000003</v>
      </c>
      <c r="L14" s="223">
        <f t="shared" si="2"/>
        <v>8615.1859999999997</v>
      </c>
      <c r="M14" s="224">
        <f t="shared" si="3"/>
        <v>-11227</v>
      </c>
      <c r="N14" s="286"/>
      <c r="O14" s="222">
        <f>+C14-'[4]QTD Mgmt Summary'!C14</f>
        <v>648</v>
      </c>
      <c r="P14" s="223">
        <f>+'[4]QTD Mgmt Summary'!G14-G14</f>
        <v>0</v>
      </c>
      <c r="Q14" s="224">
        <f t="shared" si="4"/>
        <v>648</v>
      </c>
    </row>
    <row r="15" spans="1:22" s="32" customFormat="1" ht="13.5" customHeight="1">
      <c r="A15" s="220" t="s">
        <v>49</v>
      </c>
      <c r="B15" s="221"/>
      <c r="C15" s="222">
        <f>+'Mgmt Summary'!J15</f>
        <v>-10261</v>
      </c>
      <c r="D15" s="223">
        <f>+'Mgmt Summary'!C15</f>
        <v>27500</v>
      </c>
      <c r="E15" s="224">
        <f t="shared" si="0"/>
        <v>-37761</v>
      </c>
      <c r="F15" s="225"/>
      <c r="G15" s="222">
        <f>+'Mgmt Summary'!M15+'Mgmt Summary'!N15</f>
        <v>6013.2449999999999</v>
      </c>
      <c r="H15" s="223">
        <f>+'Mgmt Summary'!D15</f>
        <v>6013.2449999999999</v>
      </c>
      <c r="I15" s="224">
        <f t="shared" si="1"/>
        <v>0</v>
      </c>
      <c r="J15" s="225"/>
      <c r="K15" s="222">
        <f t="shared" si="2"/>
        <v>-16274.244999999999</v>
      </c>
      <c r="L15" s="223">
        <f t="shared" si="2"/>
        <v>21486.755000000001</v>
      </c>
      <c r="M15" s="224">
        <f t="shared" si="3"/>
        <v>-37761</v>
      </c>
      <c r="N15" s="286"/>
      <c r="O15" s="222">
        <f>+C15-'[4]QTD Mgmt Summary'!C15</f>
        <v>-3335</v>
      </c>
      <c r="P15" s="223">
        <f>+'[4]QTD Mgmt Summary'!G15-G15</f>
        <v>0</v>
      </c>
      <c r="Q15" s="224">
        <f t="shared" ref="Q15:Q20" si="5">+O15+P15</f>
        <v>-3335</v>
      </c>
    </row>
    <row r="16" spans="1:22" s="32" customFormat="1" ht="13.5" customHeight="1">
      <c r="A16" s="220" t="s">
        <v>127</v>
      </c>
      <c r="B16" s="221"/>
      <c r="C16" s="222">
        <f>+'Mgmt Summary'!J16</f>
        <v>87.371319999999997</v>
      </c>
      <c r="D16" s="223">
        <f>+'Mgmt Summary'!C16</f>
        <v>1311</v>
      </c>
      <c r="E16" s="224">
        <f t="shared" si="0"/>
        <v>-1223.62868</v>
      </c>
      <c r="F16" s="225"/>
      <c r="G16" s="222">
        <f>+'Mgmt Summary'!M16+'Mgmt Summary'!N16</f>
        <v>4934.7109999999993</v>
      </c>
      <c r="H16" s="223">
        <f>+'Mgmt Summary'!D16</f>
        <v>4934.7109999999993</v>
      </c>
      <c r="I16" s="224">
        <f t="shared" si="1"/>
        <v>0</v>
      </c>
      <c r="J16" s="225"/>
      <c r="K16" s="222">
        <f t="shared" si="2"/>
        <v>-4847.3396799999991</v>
      </c>
      <c r="L16" s="223">
        <f t="shared" si="2"/>
        <v>-3623.7109999999993</v>
      </c>
      <c r="M16" s="224">
        <f t="shared" si="3"/>
        <v>-1223.6286799999998</v>
      </c>
      <c r="N16" s="286"/>
      <c r="O16" s="222">
        <f>+C16-'[4]QTD Mgmt Summary'!C16</f>
        <v>-3.3174000000000063</v>
      </c>
      <c r="P16" s="223">
        <f>+'[4]QTD Mgmt Summary'!G16-G16</f>
        <v>0</v>
      </c>
      <c r="Q16" s="224">
        <f t="shared" si="5"/>
        <v>-3.3174000000000063</v>
      </c>
    </row>
    <row r="17" spans="1:19" s="32" customFormat="1" ht="13.5" customHeight="1">
      <c r="A17" s="220" t="s">
        <v>87</v>
      </c>
      <c r="B17" s="221"/>
      <c r="C17" s="222">
        <f>+'Mgmt Summary'!J17</f>
        <v>414</v>
      </c>
      <c r="D17" s="223">
        <f>+'Mgmt Summary'!C17</f>
        <v>5000</v>
      </c>
      <c r="E17" s="224">
        <f t="shared" si="0"/>
        <v>-4586</v>
      </c>
      <c r="F17" s="225"/>
      <c r="G17" s="222">
        <f>+'Mgmt Summary'!M17+'Mgmt Summary'!N17</f>
        <v>4122.0959999999995</v>
      </c>
      <c r="H17" s="223">
        <f>+'Mgmt Summary'!D17</f>
        <v>2622.096</v>
      </c>
      <c r="I17" s="224">
        <f>+H17-G17</f>
        <v>-1499.9999999999995</v>
      </c>
      <c r="J17" s="225"/>
      <c r="K17" s="222">
        <f t="shared" si="2"/>
        <v>-3708.0959999999995</v>
      </c>
      <c r="L17" s="223">
        <f t="shared" si="2"/>
        <v>2377.904</v>
      </c>
      <c r="M17" s="224">
        <f t="shared" si="3"/>
        <v>-6086</v>
      </c>
      <c r="N17" s="286"/>
      <c r="O17" s="222">
        <f>+C17-'[4]QTD Mgmt Summary'!C17</f>
        <v>0</v>
      </c>
      <c r="P17" s="223">
        <f>+'[4]QTD Mgmt Summary'!G17-G17</f>
        <v>0</v>
      </c>
      <c r="Q17" s="224">
        <f t="shared" si="5"/>
        <v>0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+'[4]QTD Mgmt Summary'!G18-G18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+'[4]QTD Mgmt Summary'!G19-G19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+'[4]QTD Mgmt Summary'!G20-G20</f>
        <v>0</v>
      </c>
      <c r="Q20" s="224">
        <f t="shared" si="5"/>
        <v>0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4613.1040000000003</v>
      </c>
      <c r="E21" s="224">
        <f>-D21+C21</f>
        <v>-4613.1040000000003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4613.1040000000003</v>
      </c>
      <c r="M21" s="224">
        <f>K21-L21</f>
        <v>-4613.1040000000003</v>
      </c>
      <c r="N21" s="286"/>
      <c r="O21" s="222">
        <f>+C21-'[4]QTD Mgmt Summary'!C21</f>
        <v>0</v>
      </c>
      <c r="P21" s="223">
        <f>+'[4]QTD Mgmt Summary'!G21-G21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3.8">
      <c r="A23" s="226" t="s">
        <v>3</v>
      </c>
      <c r="B23" s="216"/>
      <c r="C23" s="231">
        <f>SUM(C9:C22)</f>
        <v>-81701.72163</v>
      </c>
      <c r="D23" s="232">
        <f>SUM(D9:D22)</f>
        <v>110000.42200000001</v>
      </c>
      <c r="E23" s="233">
        <f>SUM(E9:E22)</f>
        <v>-191702.14363000001</v>
      </c>
      <c r="F23" s="234"/>
      <c r="G23" s="231">
        <f>SUM(G9:G22)</f>
        <v>51374.8</v>
      </c>
      <c r="H23" s="232">
        <f>SUM(H9:H22)</f>
        <v>49224.800000000003</v>
      </c>
      <c r="I23" s="233">
        <f>SUM(I9:I22)</f>
        <v>-2149.9999999999995</v>
      </c>
      <c r="J23" s="234"/>
      <c r="K23" s="231">
        <f>SUM(K9:K22)</f>
        <v>-133076.52162999997</v>
      </c>
      <c r="L23" s="232">
        <f>SUM(L9:L22)</f>
        <v>60775.621999999996</v>
      </c>
      <c r="M23" s="233">
        <f>SUM(M9:M22)</f>
        <v>-193852.14363000001</v>
      </c>
      <c r="N23" s="287"/>
      <c r="O23" s="231">
        <f>SUM(O9:O22)</f>
        <v>-15587.3174</v>
      </c>
      <c r="P23" s="232">
        <f>SUM(P9:P22)</f>
        <v>0</v>
      </c>
      <c r="Q23" s="233">
        <f>SUM(Q9:Q22)</f>
        <v>-15587.3174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132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28242.490999999998</v>
      </c>
      <c r="H25" s="223">
        <f>+'Mgmt Summary'!D25</f>
        <v>28242.490999999998</v>
      </c>
      <c r="I25" s="224">
        <f>+H25-G25</f>
        <v>0</v>
      </c>
      <c r="J25" s="225"/>
      <c r="K25" s="222">
        <f>C25-G25</f>
        <v>-28242.490999999998</v>
      </c>
      <c r="L25" s="223">
        <f>D25-H25</f>
        <v>-28242.490999999998</v>
      </c>
      <c r="M25" s="224">
        <f>K25-L25</f>
        <v>0</v>
      </c>
      <c r="N25" s="286"/>
      <c r="O25" s="222">
        <f>+C25-'[4]QTD Mgmt Summary'!C25</f>
        <v>0</v>
      </c>
      <c r="P25" s="223">
        <f>+'[4]QTD Mgmt Summary'!G25-G25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-22036.860000000008</v>
      </c>
      <c r="H26" s="223">
        <f>+'Mgmt Summary'!D26</f>
        <v>-22036.860000000008</v>
      </c>
      <c r="I26" s="224">
        <f>+H26-G26</f>
        <v>0</v>
      </c>
      <c r="J26" s="225"/>
      <c r="K26" s="222">
        <f t="shared" ref="K26:L28" si="6">C26-G26</f>
        <v>22036.860000000008</v>
      </c>
      <c r="L26" s="223">
        <f t="shared" si="6"/>
        <v>22036.860000000008</v>
      </c>
      <c r="M26" s="224">
        <f>K26-L26</f>
        <v>0</v>
      </c>
      <c r="N26" s="286"/>
      <c r="O26" s="222">
        <f>+C26-'[4]QTD Mgmt Summary'!C26</f>
        <v>0</v>
      </c>
      <c r="P26" s="223">
        <f>+'[4]QTD Mgmt Summary'!G26-G26</f>
        <v>0</v>
      </c>
      <c r="Q26" s="224">
        <f>+O26+P26</f>
        <v>0</v>
      </c>
    </row>
    <row r="27" spans="1:19" s="32" customFormat="1" ht="13.5" hidden="1" customHeight="1">
      <c r="A27" s="220" t="s">
        <v>10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0</v>
      </c>
      <c r="L27" s="223">
        <f>D27-H27</f>
        <v>0</v>
      </c>
      <c r="M27" s="224">
        <f>K27-L27</f>
        <v>0</v>
      </c>
      <c r="N27" s="286"/>
      <c r="O27" s="222">
        <f>+C27-'[4]QTD Mgmt Summary'!C27</f>
        <v>0</v>
      </c>
      <c r="P27" s="223">
        <f>+'[4]QTD Mgmt Summary'!G27-G27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3.8">
      <c r="A30" s="226" t="s">
        <v>73</v>
      </c>
      <c r="B30" s="216"/>
      <c r="C30" s="231">
        <f>SUM(C23:C28)</f>
        <v>-81701.72163</v>
      </c>
      <c r="D30" s="232">
        <f>SUM(D23:D28)</f>
        <v>110000.42200000001</v>
      </c>
      <c r="E30" s="233">
        <f>SUM(E23:E28)</f>
        <v>-191702.14363000001</v>
      </c>
      <c r="F30" s="234"/>
      <c r="G30" s="231">
        <f>SUM(G23:G28)</f>
        <v>57580.43099999999</v>
      </c>
      <c r="H30" s="232">
        <f>SUM(H23:H28)</f>
        <v>55430.43099999999</v>
      </c>
      <c r="I30" s="233">
        <f>SUM(I23:I28)</f>
        <v>-2149.9999999999995</v>
      </c>
      <c r="J30" s="234"/>
      <c r="K30" s="231">
        <f>SUM(K23:K28)</f>
        <v>-139282.15262999997</v>
      </c>
      <c r="L30" s="232">
        <f>SUM(L23:L28)</f>
        <v>54569.991000000009</v>
      </c>
      <c r="M30" s="233">
        <f>SUM(M23:M28)</f>
        <v>-193852.14363000001</v>
      </c>
      <c r="N30" s="287"/>
      <c r="O30" s="231">
        <f>SUM(O23:O28)</f>
        <v>-15587.3174</v>
      </c>
      <c r="P30" s="232">
        <f>SUM(P23:P28)</f>
        <v>0</v>
      </c>
      <c r="Q30" s="233">
        <f>SUM(Q23:Q28)</f>
        <v>-15587.3174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9400</v>
      </c>
      <c r="H32" s="223">
        <f>+'Mgmt Summary'!D32</f>
        <v>6900</v>
      </c>
      <c r="I32" s="224">
        <f>+H32-G32</f>
        <v>-2500</v>
      </c>
      <c r="J32" s="225"/>
      <c r="K32" s="222">
        <f>C32-G32</f>
        <v>-9400</v>
      </c>
      <c r="L32" s="223">
        <f>D32-H32</f>
        <v>-6900</v>
      </c>
      <c r="M32" s="224">
        <f>K32-L32</f>
        <v>-2500</v>
      </c>
      <c r="N32" s="286"/>
      <c r="O32" s="222">
        <f>+C32-'[4]QTD Mgmt Summary'!C32</f>
        <v>0</v>
      </c>
      <c r="P32" s="223">
        <f>+'[4]QTD Mgmt Summary'!G32-G32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4.4" thickBot="1">
      <c r="A34" s="227" t="s">
        <v>74</v>
      </c>
      <c r="B34" s="219"/>
      <c r="C34" s="236">
        <f>+C30-C32</f>
        <v>-81701.72163</v>
      </c>
      <c r="D34" s="237">
        <f>+D30-D32</f>
        <v>110000.42200000001</v>
      </c>
      <c r="E34" s="260">
        <f>+E30-E32</f>
        <v>-191702.14363000001</v>
      </c>
      <c r="F34" s="238"/>
      <c r="G34" s="236">
        <f>SUM(G30:G32)</f>
        <v>66980.430999999982</v>
      </c>
      <c r="H34" s="237">
        <f>SUM(H30:H32)</f>
        <v>62330.43099999999</v>
      </c>
      <c r="I34" s="260">
        <f>SUM(I30:I32)</f>
        <v>-4650</v>
      </c>
      <c r="J34" s="238"/>
      <c r="K34" s="236">
        <f>SUM(K30:K32)</f>
        <v>-148682.15262999997</v>
      </c>
      <c r="L34" s="237">
        <f>SUM(L30:L32)</f>
        <v>47669.991000000009</v>
      </c>
      <c r="M34" s="260">
        <f>SUM(M30:M32)</f>
        <v>-196352.14363000001</v>
      </c>
      <c r="N34" s="287"/>
      <c r="O34" s="236">
        <f>SUM(O30:O32)</f>
        <v>-15587.3174</v>
      </c>
      <c r="P34" s="237">
        <f>SUM(P30:P32)</f>
        <v>0</v>
      </c>
      <c r="Q34" s="260">
        <f>SUM(Q30:Q32)</f>
        <v>-15587.3174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8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-9400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8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-3959</v>
      </c>
      <c r="J44" s="282"/>
    </row>
    <row r="45" spans="1:17" hidden="1"/>
    <row r="46" spans="1:17" ht="13.8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+GrossMargin!I34</f>
        <v>-81701.72163</v>
      </c>
      <c r="G48" s="265" t="s">
        <v>102</v>
      </c>
      <c r="H48" s="266"/>
      <c r="I48" s="268">
        <f>+G34</f>
        <v>66980.430999999982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8" hidden="1">
      <c r="C50" s="275" t="s">
        <v>103</v>
      </c>
      <c r="D50" s="276"/>
      <c r="E50" s="277">
        <f>+E48-E47</f>
        <v>-81701.72163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H32" sqref="H3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2" width="7.6640625" style="14" hidden="1" customWidth="1"/>
    <col min="13" max="14" width="7.6640625" style="14" customWidth="1"/>
    <col min="15" max="15" width="8.33203125" style="14" bestFit="1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20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60"/>
    </row>
    <row r="2" spans="1:24" ht="13.8">
      <c r="A2" s="321" t="s">
        <v>111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61"/>
    </row>
    <row r="3" spans="1:24" ht="13.8">
      <c r="A3" s="322" t="s">
        <v>137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314" t="s">
        <v>40</v>
      </c>
      <c r="H5" s="315"/>
      <c r="I5" s="315"/>
      <c r="J5" s="315"/>
      <c r="K5" s="315"/>
      <c r="L5" s="315"/>
      <c r="M5" s="315"/>
      <c r="N5" s="315"/>
      <c r="O5" s="31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16973.484</v>
      </c>
      <c r="E9" s="134">
        <f t="shared" ref="E9:E16" si="0">C9-D9</f>
        <v>15526.516</v>
      </c>
      <c r="F9" s="36"/>
      <c r="G9" s="132">
        <f>+GrossMargin!I10</f>
        <v>-70758</v>
      </c>
      <c r="H9" s="36">
        <f>GrossMargin!J10</f>
        <v>0</v>
      </c>
      <c r="I9" s="36">
        <f>GrossMargin!K10</f>
        <v>0</v>
      </c>
      <c r="J9" s="135">
        <f>SUM(G9:I9)</f>
        <v>-70758</v>
      </c>
      <c r="K9" s="136"/>
      <c r="L9" s="138">
        <f>'[2]Alloc Exp'!D10</f>
        <v>0</v>
      </c>
      <c r="M9" s="139">
        <f>+Expenses!D9</f>
        <v>7194.3119999999999</v>
      </c>
      <c r="N9" s="139">
        <f>+AllocExp!K10</f>
        <v>9979.1720000000005</v>
      </c>
      <c r="O9" s="135">
        <f>J9-K9-M9-N9-L9</f>
        <v>-87931.484000000011</v>
      </c>
      <c r="P9" s="37"/>
      <c r="Q9" s="132">
        <f t="shared" ref="Q9:Q16" si="1">+J9-C9</f>
        <v>-103258</v>
      </c>
      <c r="R9" s="36"/>
      <c r="S9" s="36">
        <f>'[2]Alloc Exp'!F10</f>
        <v>0</v>
      </c>
      <c r="T9" s="36">
        <f>+Expenses!F9</f>
        <v>-200</v>
      </c>
      <c r="U9" s="36">
        <f>+AllocExp!M10</f>
        <v>0</v>
      </c>
      <c r="V9" s="134">
        <f t="shared" ref="V9:V16" si="2">ROUND(SUM(Q9:U9),0)</f>
        <v>-103458</v>
      </c>
      <c r="W9" s="32"/>
      <c r="X9" s="165"/>
    </row>
    <row r="10" spans="1:24" ht="13.5" customHeight="1">
      <c r="A10" s="106" t="s">
        <v>133</v>
      </c>
      <c r="B10" s="35"/>
      <c r="C10" s="132">
        <f>+GrossMargin!M11</f>
        <v>16250</v>
      </c>
      <c r="D10" s="36">
        <f>+Expenses!E10+AllocExp!L11</f>
        <v>9528.0159999999996</v>
      </c>
      <c r="E10" s="134">
        <f t="shared" si="0"/>
        <v>6721.9840000000004</v>
      </c>
      <c r="F10" s="36"/>
      <c r="G10" s="132">
        <f>GrossMargin!I11</f>
        <v>758.90705000000003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758.90705000000003</v>
      </c>
      <c r="K10" s="136"/>
      <c r="L10" s="138">
        <f>'[2]Alloc Exp'!D11</f>
        <v>0</v>
      </c>
      <c r="M10" s="139">
        <f>+Expenses!D10</f>
        <v>5560.9960000000001</v>
      </c>
      <c r="N10" s="139">
        <f>+AllocExp!K11</f>
        <v>4167.0200000000004</v>
      </c>
      <c r="O10" s="135">
        <f t="shared" ref="O10:O20" si="4">J10-K10-M10-N10-L10</f>
        <v>-8969.1089500000016</v>
      </c>
      <c r="P10" s="37"/>
      <c r="Q10" s="132">
        <f t="shared" si="1"/>
        <v>-15491.09295</v>
      </c>
      <c r="R10" s="36"/>
      <c r="S10" s="36">
        <f>'[2]Alloc Exp'!F11</f>
        <v>0</v>
      </c>
      <c r="T10" s="36">
        <f>+Expenses!F10</f>
        <v>-200</v>
      </c>
      <c r="U10" s="36">
        <f>+AllocExp!M11</f>
        <v>0</v>
      </c>
      <c r="V10" s="134">
        <f t="shared" si="2"/>
        <v>-15691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0</v>
      </c>
      <c r="E11" s="134">
        <f>C11-D11</f>
        <v>2500</v>
      </c>
      <c r="F11" s="36"/>
      <c r="G11" s="132">
        <f>GrossMargin!I12</f>
        <v>-1370</v>
      </c>
      <c r="H11" s="36">
        <f>GrossMargin!J12</f>
        <v>0</v>
      </c>
      <c r="I11" s="36">
        <f>GrossMargin!K12</f>
        <v>0</v>
      </c>
      <c r="J11" s="135">
        <f t="shared" si="3"/>
        <v>-1370</v>
      </c>
      <c r="K11" s="136"/>
      <c r="L11" s="138">
        <f>'[2]Alloc Exp'!D13</f>
        <v>0</v>
      </c>
      <c r="M11" s="139">
        <f>+Expenses!D11</f>
        <v>0</v>
      </c>
      <c r="N11" s="139">
        <f>+AllocExp!K12</f>
        <v>0</v>
      </c>
      <c r="O11" s="135">
        <f t="shared" si="4"/>
        <v>-1370</v>
      </c>
      <c r="P11" s="37"/>
      <c r="Q11" s="132">
        <f>+J11-C11</f>
        <v>-3870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-3870</v>
      </c>
      <c r="W11" s="32"/>
    </row>
    <row r="12" spans="1:24" ht="13.5" hidden="1" customHeight="1">
      <c r="A12" s="106" t="s">
        <v>43</v>
      </c>
      <c r="B12" s="35"/>
      <c r="C12" s="132">
        <f>+GrossMargin!M13</f>
        <v>0</v>
      </c>
      <c r="D12" s="36">
        <f>+Expenses!E12+AllocExp!L13</f>
        <v>0</v>
      </c>
      <c r="E12" s="134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5">
        <f t="shared" si="3"/>
        <v>0</v>
      </c>
      <c r="K12" s="136"/>
      <c r="L12" s="138">
        <f>'[2]Alloc Exp'!D14</f>
        <v>0</v>
      </c>
      <c r="M12" s="139">
        <f>+Expenses!D12</f>
        <v>0</v>
      </c>
      <c r="N12" s="139">
        <f>+AllocExp!K13</f>
        <v>0</v>
      </c>
      <c r="O12" s="135">
        <f t="shared" si="4"/>
        <v>0</v>
      </c>
      <c r="P12" s="37"/>
      <c r="Q12" s="132">
        <f t="shared" si="1"/>
        <v>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3240.6319999999996</v>
      </c>
      <c r="E13" s="134">
        <f t="shared" si="0"/>
        <v>3838.1869999999999</v>
      </c>
      <c r="F13" s="36"/>
      <c r="G13" s="132">
        <f>GrossMargin!I14</f>
        <v>224</v>
      </c>
      <c r="H13" s="36">
        <f>GrossMargin!J14</f>
        <v>0</v>
      </c>
      <c r="I13" s="36">
        <f>GrossMargin!K14</f>
        <v>0</v>
      </c>
      <c r="J13" s="135">
        <f t="shared" si="3"/>
        <v>224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1777.6249999999998</v>
      </c>
      <c r="O13" s="135">
        <f t="shared" si="4"/>
        <v>-3016.6319999999996</v>
      </c>
      <c r="P13" s="37"/>
      <c r="Q13" s="132">
        <f t="shared" si="1"/>
        <v>-6854.8189999999995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-6855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3259.8140000000003</v>
      </c>
      <c r="E14" s="134">
        <f t="shared" si="0"/>
        <v>8615.1859999999997</v>
      </c>
      <c r="F14" s="36"/>
      <c r="G14" s="132">
        <f>GrossMargin!I15</f>
        <v>648</v>
      </c>
      <c r="H14" s="36">
        <f>GrossMargin!J15</f>
        <v>0</v>
      </c>
      <c r="I14" s="36">
        <f>GrossMargin!K15</f>
        <v>0</v>
      </c>
      <c r="J14" s="135">
        <f t="shared" si="3"/>
        <v>648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955.69299999999998</v>
      </c>
      <c r="O14" s="135">
        <f t="shared" si="4"/>
        <v>-2611.8140000000003</v>
      </c>
      <c r="P14" s="37"/>
      <c r="Q14" s="132">
        <f t="shared" si="1"/>
        <v>-11227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-11227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6013.2449999999999</v>
      </c>
      <c r="E15" s="163">
        <f t="shared" si="0"/>
        <v>21486.755000000001</v>
      </c>
      <c r="F15" s="139"/>
      <c r="G15" s="132">
        <f>+GrossMargin!I22</f>
        <v>-10261</v>
      </c>
      <c r="H15" s="36">
        <f>GrossMargin!J16</f>
        <v>0</v>
      </c>
      <c r="I15" s="36">
        <f>GrossMargin!K16</f>
        <v>0</v>
      </c>
      <c r="J15" s="135">
        <f t="shared" si="3"/>
        <v>-10261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2270.6309999999999</v>
      </c>
      <c r="O15" s="135">
        <f t="shared" si="4"/>
        <v>-16274.244999999999</v>
      </c>
      <c r="P15" s="178"/>
      <c r="Q15" s="138">
        <f t="shared" si="1"/>
        <v>-37761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-37761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4934.7109999999993</v>
      </c>
      <c r="E16" s="163">
        <f t="shared" si="0"/>
        <v>-3623.7109999999993</v>
      </c>
      <c r="F16" s="139"/>
      <c r="G16" s="132">
        <f>+GrossMargin!I23</f>
        <v>87.371319999999997</v>
      </c>
      <c r="H16" s="36">
        <f>GrossMargin!J17</f>
        <v>0</v>
      </c>
      <c r="I16" s="36">
        <f>GrossMargin!K17</f>
        <v>0</v>
      </c>
      <c r="J16" s="135">
        <f t="shared" si="3"/>
        <v>87.371319999999997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577.41800000000001</v>
      </c>
      <c r="O16" s="135">
        <f t="shared" si="4"/>
        <v>-4847.3396799999991</v>
      </c>
      <c r="P16" s="178"/>
      <c r="Q16" s="138">
        <f t="shared" si="1"/>
        <v>-1223.62868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-1224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2622.096</v>
      </c>
      <c r="E17" s="163">
        <f>C17-D17</f>
        <v>2377.904</v>
      </c>
      <c r="F17" s="139"/>
      <c r="G17" s="132">
        <f>+GrossMargin!I24</f>
        <v>414</v>
      </c>
      <c r="H17" s="36">
        <f>GrossMargin!J18</f>
        <v>0</v>
      </c>
      <c r="I17" s="36">
        <f>GrossMargin!K18</f>
        <v>0</v>
      </c>
      <c r="J17" s="135">
        <f t="shared" si="3"/>
        <v>414</v>
      </c>
      <c r="K17" s="136"/>
      <c r="L17" s="138">
        <f>'[2]Alloc Exp'!D19</f>
        <v>0</v>
      </c>
      <c r="M17" s="139">
        <f>+Expenses!D17</f>
        <v>2930.25</v>
      </c>
      <c r="N17" s="139">
        <f>+AllocExp!K18</f>
        <v>1191.846</v>
      </c>
      <c r="O17" s="135">
        <f t="shared" si="4"/>
        <v>-3708.096</v>
      </c>
      <c r="P17" s="178"/>
      <c r="Q17" s="138">
        <f>+J17-C17</f>
        <v>-4586</v>
      </c>
      <c r="R17" s="139"/>
      <c r="S17" s="139">
        <f>+'[2]Alloc Exp'!F18</f>
        <v>0</v>
      </c>
      <c r="T17" s="36">
        <f>+Expenses!F17</f>
        <v>-1500</v>
      </c>
      <c r="U17" s="36">
        <f>+AllocExp!M18</f>
        <v>0</v>
      </c>
      <c r="V17" s="163">
        <f>ROUND(SUM(Q17:U17),0)</f>
        <v>-6086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8">
        <f>+GrossMargin!M28</f>
        <v>4613.1040000000003</v>
      </c>
      <c r="D21" s="36">
        <v>0</v>
      </c>
      <c r="E21" s="134">
        <f>C21-D21</f>
        <v>4613.1040000000003</v>
      </c>
      <c r="F21" s="36"/>
      <c r="G21" s="132">
        <f>+GrossMargin!I28</f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-4613.1040000000003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-4613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110000.42200000001</v>
      </c>
      <c r="D23" s="44">
        <f>SUM(D9:D22)</f>
        <v>49224.800000000003</v>
      </c>
      <c r="E23" s="45">
        <f>SUM(E9:E22)</f>
        <v>60775.621999999996</v>
      </c>
      <c r="F23" s="36"/>
      <c r="G23" s="43">
        <f t="shared" ref="G23:N23" si="5">SUM(G9:G22)</f>
        <v>-81701.72163</v>
      </c>
      <c r="H23" s="44">
        <f t="shared" si="5"/>
        <v>0</v>
      </c>
      <c r="I23" s="44">
        <f t="shared" si="5"/>
        <v>0</v>
      </c>
      <c r="J23" s="46">
        <f t="shared" si="5"/>
        <v>-81701.72163</v>
      </c>
      <c r="K23" s="44">
        <f t="shared" si="5"/>
        <v>0</v>
      </c>
      <c r="L23" s="43">
        <f t="shared" si="5"/>
        <v>0</v>
      </c>
      <c r="M23" s="44">
        <f t="shared" si="5"/>
        <v>29337.94</v>
      </c>
      <c r="N23" s="44">
        <f t="shared" si="5"/>
        <v>22036.860000000008</v>
      </c>
      <c r="O23" s="46">
        <f>SUM(O9:O22)</f>
        <v>-133076.52163</v>
      </c>
      <c r="P23" s="37"/>
      <c r="Q23" s="43">
        <f t="shared" ref="Q23:V23" si="6">SUM(Q9:Q22)</f>
        <v>-191702.14363000001</v>
      </c>
      <c r="R23" s="44">
        <f t="shared" si="6"/>
        <v>0</v>
      </c>
      <c r="S23" s="44">
        <f t="shared" si="6"/>
        <v>0</v>
      </c>
      <c r="T23" s="44">
        <f t="shared" si="6"/>
        <v>-2150</v>
      </c>
      <c r="U23" s="44">
        <f t="shared" si="6"/>
        <v>0</v>
      </c>
      <c r="V23" s="45">
        <f t="shared" si="6"/>
        <v>-193852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132</v>
      </c>
      <c r="B25" s="35"/>
      <c r="C25" s="132">
        <v>0</v>
      </c>
      <c r="D25" s="36">
        <f>+Expenses!E24</f>
        <v>28242.490999999998</v>
      </c>
      <c r="E25" s="134">
        <f>C25-D25</f>
        <v>-28242.490999999998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28242.490999999998</v>
      </c>
      <c r="N25" s="36">
        <v>0</v>
      </c>
      <c r="O25" s="135">
        <f>J25-K25-M25-N25-L25</f>
        <v>-28242.490999999998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-22036.860000000008</v>
      </c>
      <c r="E26" s="134">
        <f>C26-D26</f>
        <v>22036.860000000008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-22036.860000000008</v>
      </c>
      <c r="O26" s="135">
        <f>J26-K26-M26-N26-L26</f>
        <v>22036.860000000008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hidden="1" customHeight="1">
      <c r="A27" s="106" t="s">
        <v>10</v>
      </c>
      <c r="B27" s="35"/>
      <c r="C27" s="138">
        <f>GrossMargin!M32</f>
        <v>0</v>
      </c>
      <c r="D27" s="36">
        <v>0</v>
      </c>
      <c r="E27" s="134">
        <f>C27-D27</f>
        <v>0</v>
      </c>
      <c r="F27" s="136"/>
      <c r="G27" s="132">
        <f>+GrossMargin!I32</f>
        <v>0</v>
      </c>
      <c r="H27" s="36">
        <f>GrossMargin!J32</f>
        <v>0</v>
      </c>
      <c r="I27" s="36">
        <f>GrossMargin!K32</f>
        <v>0</v>
      </c>
      <c r="J27" s="135">
        <f>SUM(G27:I27)</f>
        <v>0</v>
      </c>
      <c r="K27" s="136"/>
      <c r="L27" s="132"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110000.42200000001</v>
      </c>
      <c r="D30" s="44">
        <f>SUM(D23:D29)</f>
        <v>55430.43099999999</v>
      </c>
      <c r="E30" s="45">
        <f>SUM(E23:E29)</f>
        <v>54569.991000000009</v>
      </c>
      <c r="F30" s="36"/>
      <c r="G30" s="43">
        <f t="shared" ref="G30:N30" si="7">SUM(G23:G29)</f>
        <v>-81701.72163</v>
      </c>
      <c r="H30" s="44">
        <f t="shared" si="7"/>
        <v>0</v>
      </c>
      <c r="I30" s="44">
        <f t="shared" si="7"/>
        <v>0</v>
      </c>
      <c r="J30" s="46">
        <f t="shared" si="7"/>
        <v>-81701.72163</v>
      </c>
      <c r="K30" s="44">
        <f t="shared" si="7"/>
        <v>0</v>
      </c>
      <c r="L30" s="43">
        <f t="shared" si="7"/>
        <v>0</v>
      </c>
      <c r="M30" s="44">
        <f t="shared" si="7"/>
        <v>57580.430999999997</v>
      </c>
      <c r="N30" s="44">
        <f t="shared" si="7"/>
        <v>0</v>
      </c>
      <c r="O30" s="46">
        <f>J30-K30-M30-N30-L30</f>
        <v>-139282.15263</v>
      </c>
      <c r="P30" s="37"/>
      <c r="Q30" s="43">
        <f t="shared" ref="Q30:V30" si="8">SUM(Q23:Q29)</f>
        <v>-191702.14363000001</v>
      </c>
      <c r="R30" s="44">
        <f t="shared" si="8"/>
        <v>0</v>
      </c>
      <c r="S30" s="44">
        <f t="shared" si="8"/>
        <v>0</v>
      </c>
      <c r="T30" s="44">
        <f t="shared" si="8"/>
        <v>-2150</v>
      </c>
      <c r="U30" s="44">
        <f t="shared" si="8"/>
        <v>0</v>
      </c>
      <c r="V30" s="45">
        <f t="shared" si="8"/>
        <v>-193852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6900</v>
      </c>
      <c r="E32" s="134">
        <f>C32-D32</f>
        <v>-6900</v>
      </c>
      <c r="F32" s="36"/>
      <c r="G32" s="132">
        <f>GrossMargin!I44</f>
        <v>0</v>
      </c>
      <c r="H32" s="36">
        <f>GrossMargin!J44</f>
        <v>0</v>
      </c>
      <c r="I32" s="36">
        <f>GrossMargin!K44</f>
        <v>0</v>
      </c>
      <c r="J32" s="135">
        <f>SUM(G32:I32)</f>
        <v>0</v>
      </c>
      <c r="K32" s="136"/>
      <c r="L32" s="133">
        <v>0</v>
      </c>
      <c r="M32" s="139">
        <v>9400</v>
      </c>
      <c r="N32" s="36">
        <v>0</v>
      </c>
      <c r="O32" s="135">
        <f>J32-K32-M32-N32-L32</f>
        <v>-9400</v>
      </c>
      <c r="P32" s="37"/>
      <c r="Q32" s="132">
        <f>+J32-C32</f>
        <v>0</v>
      </c>
      <c r="R32" s="36"/>
      <c r="S32" s="36">
        <v>0</v>
      </c>
      <c r="T32" s="36">
        <f>D32-M32</f>
        <v>-2500</v>
      </c>
      <c r="U32" s="36"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110000.42200000001</v>
      </c>
      <c r="D34" s="40">
        <f>SUM(D30:D32)</f>
        <v>62330.43099999999</v>
      </c>
      <c r="E34" s="41">
        <f>SUM(E30:E32)</f>
        <v>47669.991000000009</v>
      </c>
      <c r="F34" s="36"/>
      <c r="G34" s="39">
        <f t="shared" ref="G34:V34" si="9">SUM(G30:G32)</f>
        <v>-81701.72163</v>
      </c>
      <c r="H34" s="40">
        <f t="shared" si="9"/>
        <v>0</v>
      </c>
      <c r="I34" s="40">
        <f t="shared" si="9"/>
        <v>0</v>
      </c>
      <c r="J34" s="42">
        <f t="shared" si="9"/>
        <v>-81701.72163</v>
      </c>
      <c r="K34" s="40">
        <f t="shared" si="9"/>
        <v>0</v>
      </c>
      <c r="L34" s="39">
        <f t="shared" si="9"/>
        <v>0</v>
      </c>
      <c r="M34" s="40">
        <f t="shared" si="9"/>
        <v>66980.430999999997</v>
      </c>
      <c r="N34" s="40">
        <f t="shared" si="9"/>
        <v>0</v>
      </c>
      <c r="O34" s="42">
        <f>J34-K34-M34-N34-L34</f>
        <v>-148682.15263</v>
      </c>
      <c r="P34" s="37"/>
      <c r="Q34" s="39">
        <f t="shared" si="9"/>
        <v>-191702.14363000001</v>
      </c>
      <c r="R34" s="40">
        <f t="shared" si="9"/>
        <v>0</v>
      </c>
      <c r="S34" s="40">
        <f t="shared" si="9"/>
        <v>0</v>
      </c>
      <c r="T34" s="40">
        <f t="shared" si="9"/>
        <v>-4650</v>
      </c>
      <c r="U34" s="40">
        <f t="shared" si="9"/>
        <v>0</v>
      </c>
      <c r="V34" s="41">
        <f t="shared" si="9"/>
        <v>-196352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8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9"/>
  <sheetViews>
    <sheetView zoomScaleNormal="100" workbookViewId="0">
      <selection activeCell="C40" sqref="C40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4" width="10.88671875" style="14" customWidth="1"/>
    <col min="5" max="5" width="10.88671875" style="14" hidden="1" customWidth="1"/>
    <col min="6" max="6" width="10.88671875" style="14" customWidth="1"/>
    <col min="7" max="7" width="8.6640625" style="14" hidden="1" customWidth="1"/>
    <col min="8" max="8" width="10.6640625" style="14" customWidth="1"/>
    <col min="9" max="9" width="8.6640625" style="14" hidden="1" customWidth="1"/>
    <col min="10" max="11" width="10.88671875" style="14" customWidth="1"/>
    <col min="12" max="16384" width="9.109375" style="14"/>
  </cols>
  <sheetData>
    <row r="1" spans="1:11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3.8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8">
      <c r="A3" s="183" t="str">
        <f>+'Mgmt Summary'!A3:V3</f>
        <v>Results based on activity through May 18,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2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4.4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-12508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-12508</v>
      </c>
      <c r="I9" s="132">
        <v>0</v>
      </c>
      <c r="J9" s="36">
        <f>+GrossMargin!K10-[4]GrossMargin!K10</f>
        <v>0</v>
      </c>
      <c r="K9" s="134">
        <f t="shared" ref="K9:K20" si="1">SUM(H9:J9)</f>
        <v>-12508</v>
      </c>
    </row>
    <row r="10" spans="1:11" s="187" customFormat="1" ht="13.5" customHeight="1">
      <c r="A10" s="106" t="s">
        <v>133</v>
      </c>
      <c r="B10" s="34"/>
      <c r="C10" s="138">
        <f>+GrossMargin!D11-[4]GrossMargin!D11</f>
        <v>-273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-273</v>
      </c>
      <c r="I10" s="132">
        <v>0</v>
      </c>
      <c r="J10" s="36">
        <f>+GrossMargin!K11-[4]GrossMargin!K11</f>
        <v>0</v>
      </c>
      <c r="K10" s="134">
        <f t="shared" si="1"/>
        <v>-273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404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404</v>
      </c>
      <c r="I11" s="132">
        <v>0</v>
      </c>
      <c r="J11" s="36">
        <f>+GrossMargin!K12-[4]GrossMargin!K12</f>
        <v>0</v>
      </c>
      <c r="K11" s="134">
        <f t="shared" si="1"/>
        <v>404</v>
      </c>
    </row>
    <row r="12" spans="1:11" s="187" customFormat="1" ht="13.5" hidden="1" customHeight="1">
      <c r="A12" s="106" t="s">
        <v>43</v>
      </c>
      <c r="B12" s="34"/>
      <c r="C12" s="138">
        <f>+GrossMargin!D13-[4]GrossMargin!D13</f>
        <v>0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0</v>
      </c>
      <c r="I12" s="132">
        <v>0</v>
      </c>
      <c r="J12" s="36">
        <f>+GrossMargin!K13-[4]GrossMargin!K13</f>
        <v>0</v>
      </c>
      <c r="K12" s="134">
        <f t="shared" si="1"/>
        <v>0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-520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-520</v>
      </c>
      <c r="I13" s="132">
        <v>0</v>
      </c>
      <c r="J13" s="36">
        <f>+GrossMargin!K14-[4]GrossMargin!K14</f>
        <v>0</v>
      </c>
      <c r="K13" s="134">
        <f t="shared" si="1"/>
        <v>-520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648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648</v>
      </c>
      <c r="I14" s="132">
        <v>0</v>
      </c>
      <c r="J14" s="36">
        <f>+GrossMargin!K15-[4]GrossMargin!K15</f>
        <v>0</v>
      </c>
      <c r="K14" s="134">
        <f t="shared" si="1"/>
        <v>648</v>
      </c>
    </row>
    <row r="15" spans="1:11" ht="13.5" hidden="1" customHeight="1">
      <c r="A15" s="304" t="s">
        <v>79</v>
      </c>
      <c r="B15" s="245"/>
      <c r="C15" s="240">
        <f>+GrossMargin!D16-[4]GrossMargin!D16</f>
        <v>-5697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-5697</v>
      </c>
      <c r="I15" s="290">
        <v>0</v>
      </c>
      <c r="J15" s="242">
        <f>+GrossMargin!K16-[4]GrossMargin!K16</f>
        <v>0</v>
      </c>
      <c r="K15" s="291">
        <f t="shared" si="1"/>
        <v>-5697</v>
      </c>
    </row>
    <row r="16" spans="1:11" ht="13.5" hidden="1" customHeight="1">
      <c r="A16" s="304" t="s">
        <v>109</v>
      </c>
      <c r="B16" s="245"/>
      <c r="C16" s="240">
        <f>+GrossMargin!D17-[4]GrossMargin!D17</f>
        <v>1015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1015</v>
      </c>
      <c r="I16" s="290">
        <v>0</v>
      </c>
      <c r="J16" s="242">
        <f>+GrossMargin!K17-[4]GrossMargin!K17</f>
        <v>0</v>
      </c>
      <c r="K16" s="291">
        <f t="shared" si="1"/>
        <v>1015</v>
      </c>
    </row>
    <row r="17" spans="1:11" ht="13.5" hidden="1" customHeight="1">
      <c r="A17" s="304" t="s">
        <v>82</v>
      </c>
      <c r="B17" s="245"/>
      <c r="C17" s="240">
        <f>+GrossMargin!D18-[4]GrossMargin!D18</f>
        <v>1206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1206</v>
      </c>
      <c r="I17" s="290">
        <v>0</v>
      </c>
      <c r="J17" s="242">
        <f>+GrossMargin!K18-[4]GrossMargin!K18</f>
        <v>0</v>
      </c>
      <c r="K17" s="291">
        <f t="shared" si="1"/>
        <v>1206</v>
      </c>
    </row>
    <row r="18" spans="1:11" ht="13.5" hidden="1" customHeight="1">
      <c r="A18" s="304" t="s">
        <v>80</v>
      </c>
      <c r="B18" s="245"/>
      <c r="C18" s="240">
        <f>+GrossMargin!D19-[4]GrossMargin!D19</f>
        <v>121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121</v>
      </c>
      <c r="I18" s="290">
        <v>0</v>
      </c>
      <c r="J18" s="242">
        <f>+GrossMargin!K19-[4]GrossMargin!K19</f>
        <v>0</v>
      </c>
      <c r="K18" s="291">
        <f t="shared" si="1"/>
        <v>121</v>
      </c>
    </row>
    <row r="19" spans="1:11" ht="13.5" hidden="1" customHeight="1">
      <c r="A19" s="304" t="s">
        <v>81</v>
      </c>
      <c r="B19" s="245"/>
      <c r="C19" s="240">
        <f>+GrossMargin!D20-[4]GrossMargin!D20</f>
        <v>20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20</v>
      </c>
      <c r="I19" s="290">
        <v>0</v>
      </c>
      <c r="J19" s="242">
        <f>+GrossMargin!K20-[4]GrossMargin!K20</f>
        <v>0</v>
      </c>
      <c r="K19" s="291">
        <f t="shared" si="1"/>
        <v>20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-3335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-3335</v>
      </c>
      <c r="I21" s="132">
        <f t="shared" si="2"/>
        <v>0</v>
      </c>
      <c r="J21" s="36">
        <f t="shared" si="2"/>
        <v>0</v>
      </c>
      <c r="K21" s="134">
        <f t="shared" si="2"/>
        <v>-3335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8</v>
      </c>
      <c r="D22" s="36">
        <f>+GrossMargin!E23-[4]GrossMargin!E23</f>
        <v>-11.317399999999999</v>
      </c>
      <c r="E22" s="36">
        <v>0</v>
      </c>
      <c r="F22" s="137">
        <f>+GrossMargin!G23-[4]GrossMargin!G23</f>
        <v>0</v>
      </c>
      <c r="G22" s="137">
        <v>0</v>
      </c>
      <c r="H22" s="135">
        <f t="shared" ref="H22:H27" si="3">SUM(C22:G22)</f>
        <v>-3.3173999999999992</v>
      </c>
      <c r="I22" s="132">
        <v>0</v>
      </c>
      <c r="J22" s="36">
        <f>+GrossMargin!K23-[4]GrossMargin!K23</f>
        <v>0</v>
      </c>
      <c r="K22" s="134">
        <f t="shared" ref="K22:K27" si="4">SUM(H22:J22)</f>
        <v>-3.3173999999999992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0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 t="shared" si="3"/>
        <v>0</v>
      </c>
      <c r="I23" s="132">
        <v>0</v>
      </c>
      <c r="J23" s="36">
        <f>+GrossMargin!K24-[4]GrossMargin!K24</f>
        <v>0</v>
      </c>
      <c r="K23" s="134">
        <f t="shared" si="4"/>
        <v>0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 t="shared" si="3"/>
        <v>0</v>
      </c>
      <c r="I24" s="132">
        <v>0</v>
      </c>
      <c r="J24" s="36">
        <f>+GrossMargin!K25-[4]GrossMargin!K25</f>
        <v>0</v>
      </c>
      <c r="K24" s="134">
        <f t="shared" si="4"/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 t="shared" si="3"/>
        <v>0</v>
      </c>
      <c r="I25" s="132">
        <v>0</v>
      </c>
      <c r="J25" s="36">
        <f>+GrossMargin!K26-[4]GrossMargin!K26</f>
        <v>0</v>
      </c>
      <c r="K25" s="134">
        <f t="shared" si="4"/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 t="shared" si="3"/>
        <v>0</v>
      </c>
      <c r="I26" s="132">
        <v>0</v>
      </c>
      <c r="J26" s="36">
        <f>+GrossMargin!K27-[4]GrossMargin!K27</f>
        <v>0</v>
      </c>
      <c r="K26" s="134">
        <f t="shared" si="4"/>
        <v>0</v>
      </c>
    </row>
    <row r="27" spans="1:11" ht="13.5" customHeight="1">
      <c r="A27" s="106" t="s">
        <v>129</v>
      </c>
      <c r="B27" s="167"/>
      <c r="C27" s="138">
        <f>+GrossMargin!D28-[4]GrossMargin!D28</f>
        <v>0</v>
      </c>
      <c r="D27" s="36">
        <f>+GrossMargin!E28-[4]GrossMargin!E28</f>
        <v>0</v>
      </c>
      <c r="E27" s="36">
        <v>0</v>
      </c>
      <c r="F27" s="137">
        <f>+GrossMargin!G28-[4]GrossMargin!G28</f>
        <v>0</v>
      </c>
      <c r="G27" s="137">
        <v>0</v>
      </c>
      <c r="H27" s="135">
        <f t="shared" si="3"/>
        <v>0</v>
      </c>
      <c r="I27" s="132">
        <v>0</v>
      </c>
      <c r="J27" s="36">
        <f>+GrossMargin!K28-[4]GrossMargin!K28</f>
        <v>0</v>
      </c>
      <c r="K27" s="134">
        <f t="shared" si="4"/>
        <v>0</v>
      </c>
    </row>
    <row r="28" spans="1:11" ht="3" hidden="1" customHeight="1">
      <c r="A28" s="106"/>
      <c r="B28" s="34"/>
      <c r="C28" s="132"/>
      <c r="D28" s="36"/>
      <c r="E28" s="36"/>
      <c r="F28" s="137"/>
      <c r="G28" s="137"/>
      <c r="H28" s="135"/>
      <c r="I28" s="132"/>
      <c r="J28" s="36"/>
      <c r="K28" s="137"/>
    </row>
    <row r="29" spans="1:11" ht="13.5" hidden="1" customHeight="1">
      <c r="A29" s="38" t="s">
        <v>128</v>
      </c>
      <c r="B29" s="34"/>
      <c r="C29" s="43">
        <f>SUM(C21:C27)+SUM(C9:C14)</f>
        <v>-15576</v>
      </c>
      <c r="D29" s="44">
        <f>SUM(D9:D14)+SUM(D21:D27)</f>
        <v>-11.317399999999999</v>
      </c>
      <c r="E29" s="44">
        <f>SUM(E9:E14)+SUM(E21:E27)</f>
        <v>0</v>
      </c>
      <c r="F29" s="45">
        <f>SUM(F9:F14)+SUM(F21:F27)</f>
        <v>0</v>
      </c>
      <c r="G29" s="44">
        <f>SUM(G9:G14)+SUM(G21:G27)</f>
        <v>0</v>
      </c>
      <c r="H29" s="46">
        <f>SUM(H9:H14)+SUM(H21:H27)</f>
        <v>-15587.3174</v>
      </c>
      <c r="I29" s="44" t="e">
        <f>+#REF!+#REF!</f>
        <v>#REF!</v>
      </c>
      <c r="J29" s="44">
        <f>SUM(J9:J14)+SUM(J21:J27)</f>
        <v>0</v>
      </c>
      <c r="K29" s="45">
        <f>SUM(K9:K14)+SUM(K21:K27)</f>
        <v>-15587.3174</v>
      </c>
    </row>
    <row r="30" spans="1:11" ht="3" hidden="1" customHeight="1">
      <c r="A30" s="106"/>
      <c r="B30" s="34"/>
      <c r="C30" s="132"/>
      <c r="D30" s="36"/>
      <c r="E30" s="36"/>
      <c r="F30" s="137"/>
      <c r="G30" s="137"/>
      <c r="H30" s="135"/>
      <c r="I30" s="132"/>
      <c r="J30" s="36"/>
      <c r="K30" s="137"/>
    </row>
    <row r="31" spans="1:11" ht="13.5" hidden="1" customHeight="1">
      <c r="A31" s="106" t="s">
        <v>10</v>
      </c>
      <c r="B31" s="34"/>
      <c r="C31" s="132">
        <f>+GrossMargin!D32-[4]GrossMargin!D31</f>
        <v>0</v>
      </c>
      <c r="D31" s="36">
        <f>+GrossMargin!E32-[4]GrossMargin!E31</f>
        <v>0</v>
      </c>
      <c r="E31" s="36">
        <v>0</v>
      </c>
      <c r="F31" s="137">
        <f>+GrossMargin!G32-[4]GrossMargin!G31</f>
        <v>0</v>
      </c>
      <c r="G31" s="137">
        <v>0</v>
      </c>
      <c r="H31" s="135">
        <f>SUM(C31:G31)</f>
        <v>0</v>
      </c>
      <c r="I31" s="132">
        <v>0</v>
      </c>
      <c r="J31" s="36">
        <f>+GrossMargin!K32-[4]GrossMargin!K31</f>
        <v>0</v>
      </c>
      <c r="K31" s="134">
        <f>SUM(H31:J31)</f>
        <v>0</v>
      </c>
    </row>
    <row r="32" spans="1:11" ht="3" customHeight="1">
      <c r="A32" s="105"/>
      <c r="B32" s="34"/>
      <c r="C32" s="309"/>
      <c r="D32" s="310"/>
      <c r="E32" s="310"/>
      <c r="F32" s="310"/>
      <c r="G32" s="310"/>
      <c r="H32" s="312"/>
      <c r="I32" s="310"/>
      <c r="J32" s="310"/>
      <c r="K32" s="311"/>
    </row>
    <row r="33" spans="1:11" ht="13.5" customHeight="1">
      <c r="A33" s="38" t="s">
        <v>93</v>
      </c>
      <c r="B33" s="34"/>
      <c r="C33" s="39">
        <f>SUM(C9:C14)+SUM(C21:C27)</f>
        <v>-15576</v>
      </c>
      <c r="D33" s="40">
        <f>SUM(D9:D14)+SUM(D21:D27)</f>
        <v>-11.317399999999999</v>
      </c>
      <c r="E33" s="40">
        <f>+E29+E31</f>
        <v>0</v>
      </c>
      <c r="F33" s="40">
        <f>SUM(F9:F14)+SUM(F21:F27)</f>
        <v>0</v>
      </c>
      <c r="G33" s="40">
        <f>SUM(G29:G31)</f>
        <v>0</v>
      </c>
      <c r="H33" s="42">
        <f>+H29+H31</f>
        <v>-15587.3174</v>
      </c>
      <c r="I33" s="40" t="e">
        <f>SUM(I29:I31)</f>
        <v>#REF!</v>
      </c>
      <c r="J33" s="40">
        <f>SUM(J9:J14)+SUM(J21:J27)</f>
        <v>0</v>
      </c>
      <c r="K33" s="41">
        <f>SUM(K9:K14)+SUM(K21:K27)</f>
        <v>-15587.3174</v>
      </c>
    </row>
    <row r="34" spans="1:11" ht="3" customHeight="1">
      <c r="A34" s="102"/>
      <c r="B34" s="32"/>
      <c r="C34" s="103"/>
      <c r="D34" s="104"/>
      <c r="E34" s="104"/>
      <c r="F34" s="104"/>
      <c r="G34" s="104"/>
      <c r="H34" s="307"/>
      <c r="I34" s="104"/>
      <c r="J34" s="104"/>
      <c r="K34" s="179"/>
    </row>
    <row r="35" spans="1:11" ht="13.8">
      <c r="A35" s="162" t="s">
        <v>59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E36" s="184"/>
    </row>
    <row r="38" spans="1:11">
      <c r="G38" s="165"/>
    </row>
    <row r="39" spans="1:11" ht="15.6">
      <c r="D39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1"/>
  <sheetViews>
    <sheetView topLeftCell="B2" zoomScaleNormal="100" workbookViewId="0">
      <selection activeCell="E42" sqref="E42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6" width="8.5546875" style="14" hidden="1" customWidth="1"/>
    <col min="7" max="7" width="8.5546875" style="14" customWidth="1"/>
    <col min="8" max="8" width="8.6640625" style="14" hidden="1" customWidth="1"/>
    <col min="9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42</v>
      </c>
    </row>
    <row r="2" spans="1:16" ht="15.6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3.8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8">
      <c r="A4" s="12" t="s">
        <v>21</v>
      </c>
      <c r="B4" s="183" t="str">
        <f>+'Mgmt Summary'!A3</f>
        <v>Results based on activity through May 18,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8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4.4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-70758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-70758</v>
      </c>
      <c r="J10" s="136"/>
      <c r="K10" s="36">
        <v>0</v>
      </c>
      <c r="L10" s="36">
        <f>+I10+K10</f>
        <v>-70758</v>
      </c>
      <c r="M10" s="249">
        <v>32500</v>
      </c>
      <c r="N10" s="134">
        <f t="shared" ref="N10:N23" si="1">L10-M10</f>
        <v>-103258</v>
      </c>
    </row>
    <row r="11" spans="1:16" s="187" customFormat="1" ht="13.5" customHeight="1">
      <c r="A11" s="12" t="s">
        <v>17</v>
      </c>
      <c r="B11" s="106" t="s">
        <v>133</v>
      </c>
      <c r="C11" s="186"/>
      <c r="D11" s="138">
        <f>-770-D12</f>
        <v>600</v>
      </c>
      <c r="E11" s="139">
        <v>232.47763</v>
      </c>
      <c r="F11" s="139">
        <v>0</v>
      </c>
      <c r="G11" s="139">
        <v>-73.570580000000007</v>
      </c>
      <c r="H11" s="137">
        <v>0</v>
      </c>
      <c r="I11" s="135">
        <f t="shared" si="0"/>
        <v>758.90705000000003</v>
      </c>
      <c r="J11" s="136"/>
      <c r="K11" s="36">
        <v>0</v>
      </c>
      <c r="L11" s="36">
        <f t="shared" ref="L11:L23" si="2">+I11+K11</f>
        <v>758.90705000000003</v>
      </c>
      <c r="M11" s="249">
        <f>13750-M12+1875+3125</f>
        <v>16250</v>
      </c>
      <c r="N11" s="134">
        <f t="shared" si="1"/>
        <v>-15491.09295</v>
      </c>
    </row>
    <row r="12" spans="1:16" s="187" customFormat="1" ht="13.5" customHeight="1">
      <c r="A12" s="12"/>
      <c r="B12" s="106" t="s">
        <v>122</v>
      </c>
      <c r="C12" s="186"/>
      <c r="D12" s="138">
        <v>-1370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-1370</v>
      </c>
      <c r="J12" s="136"/>
      <c r="K12" s="36">
        <v>0</v>
      </c>
      <c r="L12" s="36">
        <f>+I12+K12</f>
        <v>-1370</v>
      </c>
      <c r="M12" s="249">
        <v>2500</v>
      </c>
      <c r="N12" s="134">
        <f>L12-M12</f>
        <v>-3870</v>
      </c>
    </row>
    <row r="13" spans="1:16" s="187" customFormat="1" ht="13.5" hidden="1" customHeight="1">
      <c r="A13" s="12" t="s">
        <v>0</v>
      </c>
      <c r="B13" s="106" t="s">
        <v>43</v>
      </c>
      <c r="C13" s="186"/>
      <c r="D13" s="138">
        <v>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0</v>
      </c>
      <c r="J13" s="136"/>
      <c r="K13" s="36">
        <v>0</v>
      </c>
      <c r="L13" s="36">
        <f t="shared" si="2"/>
        <v>0</v>
      </c>
      <c r="M13" s="249">
        <v>0</v>
      </c>
      <c r="N13" s="134">
        <f t="shared" si="1"/>
        <v>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224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224</v>
      </c>
      <c r="J14" s="136"/>
      <c r="K14" s="36">
        <v>0</v>
      </c>
      <c r="L14" s="36">
        <f t="shared" si="2"/>
        <v>224</v>
      </c>
      <c r="M14" s="249">
        <f>8578.819-1500</f>
        <v>7078.8189999999995</v>
      </c>
      <c r="N14" s="134">
        <f t="shared" si="1"/>
        <v>-6854.8189999999995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648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648</v>
      </c>
      <c r="J15" s="136"/>
      <c r="K15" s="36">
        <v>0</v>
      </c>
      <c r="L15" s="36">
        <f t="shared" si="2"/>
        <v>648</v>
      </c>
      <c r="M15" s="249">
        <v>11875</v>
      </c>
      <c r="N15" s="134">
        <f t="shared" si="1"/>
        <v>-11227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-14058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-14058</v>
      </c>
      <c r="J16" s="242"/>
      <c r="K16" s="242">
        <v>0</v>
      </c>
      <c r="L16" s="36">
        <f t="shared" si="2"/>
        <v>-14058</v>
      </c>
      <c r="M16" s="251">
        <v>0</v>
      </c>
      <c r="N16" s="243">
        <f>L16-M16</f>
        <v>-14058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4005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4005</v>
      </c>
      <c r="J17" s="242"/>
      <c r="K17" s="242">
        <v>0</v>
      </c>
      <c r="L17" s="36">
        <f>+I17+K17</f>
        <v>4005</v>
      </c>
      <c r="M17" s="251">
        <v>0</v>
      </c>
      <c r="N17" s="243">
        <f>L17-M17</f>
        <v>4005</v>
      </c>
    </row>
    <row r="18" spans="1:16" ht="13.5" hidden="1" customHeight="1">
      <c r="B18" s="304" t="s">
        <v>82</v>
      </c>
      <c r="C18" s="239"/>
      <c r="D18" s="240">
        <v>-336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-336</v>
      </c>
      <c r="J18" s="242"/>
      <c r="K18" s="242">
        <v>0</v>
      </c>
      <c r="L18" s="36">
        <f t="shared" si="2"/>
        <v>-336</v>
      </c>
      <c r="M18" s="251">
        <v>0</v>
      </c>
      <c r="N18" s="243">
        <f>L18-M18</f>
        <v>-336</v>
      </c>
      <c r="P18" s="165"/>
    </row>
    <row r="19" spans="1:16" ht="13.5" hidden="1" customHeight="1">
      <c r="B19" s="304" t="s">
        <v>80</v>
      </c>
      <c r="C19" s="239"/>
      <c r="D19" s="240">
        <v>161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161</v>
      </c>
      <c r="J19" s="242"/>
      <c r="K19" s="242">
        <v>0</v>
      </c>
      <c r="L19" s="36">
        <f t="shared" si="2"/>
        <v>161</v>
      </c>
      <c r="M19" s="251">
        <v>0</v>
      </c>
      <c r="N19" s="243">
        <f t="shared" si="1"/>
        <v>161</v>
      </c>
      <c r="O19" s="165"/>
    </row>
    <row r="20" spans="1:16" ht="13.5" hidden="1" customHeight="1">
      <c r="B20" s="304" t="s">
        <v>81</v>
      </c>
      <c r="C20" s="239"/>
      <c r="D20" s="240">
        <v>-33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-33</v>
      </c>
      <c r="J20" s="242"/>
      <c r="K20" s="242">
        <v>0</v>
      </c>
      <c r="L20" s="36">
        <f t="shared" si="2"/>
        <v>-33</v>
      </c>
      <c r="M20" s="251">
        <v>0</v>
      </c>
      <c r="N20" s="243">
        <f t="shared" si="1"/>
        <v>-33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-10261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-10261</v>
      </c>
      <c r="J22" s="136"/>
      <c r="K22" s="36">
        <f>SUM(K16:K21)</f>
        <v>0</v>
      </c>
      <c r="L22" s="36">
        <f t="shared" si="2"/>
        <v>-10261</v>
      </c>
      <c r="M22" s="249">
        <v>27500</v>
      </c>
      <c r="N22" s="134">
        <f>L22-M22</f>
        <v>-37761</v>
      </c>
    </row>
    <row r="23" spans="1:16" s="187" customFormat="1" ht="13.5" customHeight="1">
      <c r="A23" s="12"/>
      <c r="B23" s="166" t="s">
        <v>127</v>
      </c>
      <c r="C23" s="186"/>
      <c r="D23" s="138">
        <v>67</v>
      </c>
      <c r="E23" s="139">
        <v>20.371320000000001</v>
      </c>
      <c r="F23" s="139">
        <v>0</v>
      </c>
      <c r="G23" s="139">
        <v>0</v>
      </c>
      <c r="H23" s="137">
        <v>0</v>
      </c>
      <c r="I23" s="135">
        <f t="shared" ref="I23:I28" si="4">SUM(D23:H23)</f>
        <v>87.371319999999997</v>
      </c>
      <c r="J23" s="136"/>
      <c r="K23" s="36">
        <v>0</v>
      </c>
      <c r="L23" s="36">
        <f t="shared" si="2"/>
        <v>87.371319999999997</v>
      </c>
      <c r="M23" s="137">
        <f>1000+311</f>
        <v>1311</v>
      </c>
      <c r="N23" s="134">
        <f t="shared" si="1"/>
        <v>-1223.62868</v>
      </c>
    </row>
    <row r="24" spans="1:16" s="187" customFormat="1" ht="13.5" customHeight="1">
      <c r="A24" s="12"/>
      <c r="B24" s="106" t="s">
        <v>87</v>
      </c>
      <c r="C24" s="186"/>
      <c r="D24" s="138">
        <v>376</v>
      </c>
      <c r="E24" s="139">
        <v>0</v>
      </c>
      <c r="F24" s="139">
        <v>0</v>
      </c>
      <c r="G24" s="139">
        <v>38</v>
      </c>
      <c r="H24" s="137">
        <v>0</v>
      </c>
      <c r="I24" s="135">
        <f t="shared" si="4"/>
        <v>414</v>
      </c>
      <c r="J24" s="136"/>
      <c r="K24" s="36">
        <v>0</v>
      </c>
      <c r="L24" s="36">
        <f>+I24+K24</f>
        <v>414</v>
      </c>
      <c r="M24" s="249">
        <v>5000</v>
      </c>
      <c r="N24" s="134">
        <f>L24-M24</f>
        <v>-4586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 t="shared" si="4"/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 t="shared" si="4"/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 t="shared" si="4"/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s="187" customFormat="1" ht="12" customHeight="1">
      <c r="A28" s="185"/>
      <c r="B28" s="106" t="s">
        <v>129</v>
      </c>
      <c r="C28" s="186"/>
      <c r="D28" s="138">
        <v>0</v>
      </c>
      <c r="E28" s="139">
        <v>0</v>
      </c>
      <c r="F28" s="139">
        <v>0</v>
      </c>
      <c r="G28" s="139">
        <v>0</v>
      </c>
      <c r="H28" s="137">
        <v>0</v>
      </c>
      <c r="I28" s="135">
        <f t="shared" si="4"/>
        <v>0</v>
      </c>
      <c r="J28" s="136"/>
      <c r="K28" s="132">
        <v>0</v>
      </c>
      <c r="L28" s="36">
        <f>+I28+K28</f>
        <v>0</v>
      </c>
      <c r="M28" s="137">
        <f>3875+738.104</f>
        <v>4613.1040000000003</v>
      </c>
      <c r="N28" s="134">
        <f>L28-M28</f>
        <v>-4613.1040000000003</v>
      </c>
    </row>
    <row r="29" spans="1:16" ht="3" customHeight="1">
      <c r="B29" s="105"/>
      <c r="C29" s="34"/>
      <c r="D29" s="309"/>
      <c r="E29" s="310"/>
      <c r="F29" s="310"/>
      <c r="G29" s="310"/>
      <c r="H29" s="310"/>
      <c r="I29" s="312"/>
      <c r="J29" s="310"/>
      <c r="K29" s="310"/>
      <c r="L29" s="310"/>
      <c r="M29" s="310"/>
      <c r="N29" s="312"/>
    </row>
    <row r="30" spans="1:16" ht="12" hidden="1" customHeight="1">
      <c r="B30" s="259" t="s">
        <v>75</v>
      </c>
      <c r="C30" s="34"/>
      <c r="D30" s="43">
        <f t="shared" ref="D30:N30" si="5">SUM(D10:D15)+SUM(D22:D28)</f>
        <v>-80474</v>
      </c>
      <c r="E30" s="44">
        <f t="shared" si="5"/>
        <v>252.84895</v>
      </c>
      <c r="F30" s="44">
        <f t="shared" si="5"/>
        <v>0</v>
      </c>
      <c r="G30" s="44">
        <f t="shared" si="5"/>
        <v>-1480.5705800000001</v>
      </c>
      <c r="H30" s="44">
        <f t="shared" si="5"/>
        <v>0</v>
      </c>
      <c r="I30" s="46">
        <f t="shared" si="5"/>
        <v>-81701.72163</v>
      </c>
      <c r="J30" s="44">
        <f t="shared" si="5"/>
        <v>0</v>
      </c>
      <c r="K30" s="44">
        <f t="shared" si="5"/>
        <v>0</v>
      </c>
      <c r="L30" s="44">
        <f t="shared" si="5"/>
        <v>-81701.72163</v>
      </c>
      <c r="M30" s="44">
        <f t="shared" si="5"/>
        <v>110000.42199999999</v>
      </c>
      <c r="N30" s="46">
        <f t="shared" si="5"/>
        <v>-191702.14363000001</v>
      </c>
    </row>
    <row r="31" spans="1:16" ht="3" hidden="1" customHeight="1">
      <c r="B31" s="106"/>
      <c r="C31" s="34"/>
      <c r="D31" s="132"/>
      <c r="E31" s="36"/>
      <c r="F31" s="36"/>
      <c r="G31" s="36"/>
      <c r="H31" s="36"/>
      <c r="I31" s="135"/>
      <c r="J31" s="36"/>
      <c r="K31" s="36"/>
      <c r="L31" s="36"/>
      <c r="M31" s="36"/>
      <c r="N31" s="135"/>
    </row>
    <row r="32" spans="1:16" ht="13.5" hidden="1" customHeight="1">
      <c r="B32" s="106" t="s">
        <v>10</v>
      </c>
      <c r="C32" s="34"/>
      <c r="D32" s="132">
        <v>0</v>
      </c>
      <c r="E32" s="139">
        <v>0</v>
      </c>
      <c r="F32" s="139">
        <v>0</v>
      </c>
      <c r="G32" s="139">
        <v>0</v>
      </c>
      <c r="H32" s="36">
        <v>0</v>
      </c>
      <c r="I32" s="135">
        <f>SUM(D32:H32)</f>
        <v>0</v>
      </c>
      <c r="J32" s="36"/>
      <c r="K32" s="36">
        <v>0</v>
      </c>
      <c r="L32" s="36">
        <f>SUM(I32:K32)</f>
        <v>0</v>
      </c>
      <c r="M32" s="36">
        <v>0</v>
      </c>
      <c r="N32" s="135">
        <f>L32-M32</f>
        <v>0</v>
      </c>
    </row>
    <row r="33" spans="2:14" ht="3" hidden="1" customHeight="1">
      <c r="B33" s="106"/>
      <c r="C33" s="34"/>
      <c r="D33" s="132"/>
      <c r="E33" s="36"/>
      <c r="F33" s="36"/>
      <c r="G33" s="36"/>
      <c r="H33" s="36"/>
      <c r="I33" s="135"/>
      <c r="J33" s="36"/>
      <c r="K33" s="36"/>
      <c r="L33" s="36"/>
      <c r="M33" s="36"/>
      <c r="N33" s="135"/>
    </row>
    <row r="34" spans="2:14" ht="12" customHeight="1">
      <c r="B34" s="38" t="s">
        <v>76</v>
      </c>
      <c r="C34" s="34"/>
      <c r="D34" s="39">
        <f>SUM(D10:D15)+SUM(D22:D28)</f>
        <v>-80474</v>
      </c>
      <c r="E34" s="40">
        <f t="shared" ref="E34:N34" si="6">SUM(E10:E15)+SUM(E22:E28)</f>
        <v>252.84895</v>
      </c>
      <c r="F34" s="40">
        <f t="shared" si="6"/>
        <v>0</v>
      </c>
      <c r="G34" s="40">
        <f t="shared" si="6"/>
        <v>-1480.5705800000001</v>
      </c>
      <c r="H34" s="40">
        <f t="shared" si="6"/>
        <v>0</v>
      </c>
      <c r="I34" s="42">
        <f t="shared" si="6"/>
        <v>-81701.72163</v>
      </c>
      <c r="J34" s="40">
        <f t="shared" si="6"/>
        <v>0</v>
      </c>
      <c r="K34" s="40">
        <f t="shared" si="6"/>
        <v>0</v>
      </c>
      <c r="L34" s="40">
        <f t="shared" si="6"/>
        <v>-81701.72163</v>
      </c>
      <c r="M34" s="40">
        <f t="shared" si="6"/>
        <v>110000.42199999999</v>
      </c>
      <c r="N34" s="42">
        <f t="shared" si="6"/>
        <v>-191702.14363000001</v>
      </c>
    </row>
    <row r="35" spans="2:14" ht="3" customHeight="1">
      <c r="B35" s="24"/>
      <c r="D35" s="25"/>
      <c r="E35" s="26"/>
      <c r="F35" s="26"/>
      <c r="G35" s="26"/>
      <c r="H35" s="26"/>
      <c r="I35" s="169"/>
      <c r="J35" s="26"/>
      <c r="K35" s="26"/>
      <c r="L35" s="26"/>
      <c r="M35" s="26"/>
      <c r="N35" s="169"/>
    </row>
    <row r="36" spans="2:14">
      <c r="B36" s="162" t="s">
        <v>59</v>
      </c>
      <c r="C36" s="5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B38" s="70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 t="s">
        <v>62</v>
      </c>
      <c r="M41" s="23"/>
      <c r="N41" s="23"/>
    </row>
    <row r="42" spans="2:14">
      <c r="D42" s="23"/>
    </row>
    <row r="43" spans="2:14">
      <c r="D43" s="23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H32" sqref="H32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42</v>
      </c>
    </row>
    <row r="2" spans="1:37" ht="15.6">
      <c r="A2" s="10" t="s">
        <v>28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Q2" t="s">
        <v>58</v>
      </c>
    </row>
    <row r="3" spans="1:37" ht="13.8">
      <c r="A3" s="11">
        <v>36861</v>
      </c>
      <c r="B3" s="333" t="s">
        <v>126</v>
      </c>
      <c r="C3" s="333"/>
      <c r="D3" s="333"/>
      <c r="E3" s="333"/>
      <c r="F3" s="333"/>
      <c r="G3" s="333"/>
      <c r="H3" s="333"/>
      <c r="I3" s="333"/>
      <c r="J3" s="333"/>
      <c r="K3" s="333"/>
    </row>
    <row r="4" spans="1:37">
      <c r="A4" s="10" t="s">
        <v>21</v>
      </c>
      <c r="B4" s="334" t="str">
        <f>+'Mgmt Summary'!A3</f>
        <v>Results based on activity through May 18, 2001</v>
      </c>
      <c r="C4" s="334"/>
      <c r="D4" s="334"/>
      <c r="E4" s="334"/>
      <c r="F4" s="334"/>
      <c r="G4" s="334"/>
      <c r="H4" s="334"/>
      <c r="I4" s="334"/>
      <c r="J4" s="334"/>
      <c r="K4" s="334"/>
    </row>
    <row r="5" spans="1:37" ht="3" customHeight="1"/>
    <row r="6" spans="1:37" s="50" customFormat="1" ht="12">
      <c r="A6" s="10" t="s">
        <v>46</v>
      </c>
      <c r="B6" s="123"/>
      <c r="D6" s="326" t="s">
        <v>25</v>
      </c>
      <c r="E6" s="327"/>
      <c r="F6" s="328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9" t="s">
        <v>38</v>
      </c>
      <c r="I7" s="330"/>
      <c r="J7" s="330"/>
      <c r="K7" s="331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>+E9+200</f>
        <v>7194.3119999999999</v>
      </c>
      <c r="E9" s="172">
        <v>6994.3119999999999</v>
      </c>
      <c r="F9" s="176">
        <f t="shared" ref="F9:F16" si="0">E9-D9</f>
        <v>-200</v>
      </c>
      <c r="G9" s="52"/>
      <c r="H9" s="247" t="s">
        <v>135</v>
      </c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133</v>
      </c>
      <c r="C10" s="50"/>
      <c r="D10" s="158">
        <f>+E10+200</f>
        <v>5560.9960000000001</v>
      </c>
      <c r="E10" s="172">
        <f>4077.215+237.191+1046.59</f>
        <v>5360.9960000000001</v>
      </c>
      <c r="F10" s="142">
        <f t="shared" si="0"/>
        <v>-200</v>
      </c>
      <c r="G10" s="52"/>
      <c r="H10" s="247" t="s">
        <v>136</v>
      </c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 t="shared" ref="D11:D16" si="1">+E11</f>
        <v>0</v>
      </c>
      <c r="E11" s="172">
        <v>0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8">
        <f t="shared" si="1"/>
        <v>0</v>
      </c>
      <c r="E12" s="172">
        <v>0</v>
      </c>
      <c r="F12" s="142">
        <f t="shared" si="0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1"/>
        <v>1463.0070000000001</v>
      </c>
      <c r="E13" s="172">
        <f>1906.741-443.734</f>
        <v>1463.0070000000001</v>
      </c>
      <c r="F13" s="142">
        <f t="shared" si="0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1"/>
        <v>2304.1210000000001</v>
      </c>
      <c r="E14" s="172">
        <v>2304.1210000000001</v>
      </c>
      <c r="F14" s="142">
        <f t="shared" si="0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1"/>
        <v>3742.614</v>
      </c>
      <c r="E15" s="172">
        <v>3742.614</v>
      </c>
      <c r="F15" s="176">
        <f t="shared" si="0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1"/>
        <v>4357.2929999999997</v>
      </c>
      <c r="E16" s="172">
        <f>578.553+3778.74</f>
        <v>4357.2929999999997</v>
      </c>
      <c r="F16" s="176">
        <f t="shared" si="0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+E17+1500</f>
        <v>2930.25</v>
      </c>
      <c r="E17" s="172">
        <v>1430.25</v>
      </c>
      <c r="F17" s="176">
        <f>E17-D17</f>
        <v>-1500</v>
      </c>
      <c r="G17" s="52"/>
      <c r="H17" s="247" t="s">
        <v>134</v>
      </c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29337.94</v>
      </c>
      <c r="E22" s="57">
        <f>SUM(E9:E21)</f>
        <v>27187.94</v>
      </c>
      <c r="F22" s="180">
        <f>SUM(F9:F21)</f>
        <v>-2150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28242.490999999998</v>
      </c>
      <c r="E24" s="141">
        <f>29614-68.678-792.24+407.571+500-1100-318.162</f>
        <v>28242.490999999998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57580.430999999997</v>
      </c>
      <c r="E27" s="48">
        <f>SUM(E22:E25)</f>
        <v>55430.430999999997</v>
      </c>
      <c r="F27" s="49">
        <f>SUM(F22:F25)</f>
        <v>-2150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5" t="s">
        <v>48</v>
      </c>
      <c r="E30" s="336"/>
      <c r="F30" s="337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23" t="s">
        <v>38</v>
      </c>
      <c r="I31" s="324"/>
      <c r="J31" s="324"/>
      <c r="K31" s="325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L36" sqref="L36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32" t="s">
        <v>69</v>
      </c>
      <c r="B2" s="332"/>
      <c r="C2" s="332"/>
      <c r="D2" s="332"/>
      <c r="E2" s="332"/>
      <c r="F2" s="332"/>
      <c r="G2" s="332"/>
      <c r="H2" s="332"/>
      <c r="I2" s="332"/>
      <c r="J2" s="332"/>
    </row>
    <row r="3" spans="1:33" ht="13.8">
      <c r="A3" s="333" t="s">
        <v>117</v>
      </c>
      <c r="B3" s="333"/>
      <c r="C3" s="333"/>
      <c r="D3" s="333"/>
      <c r="E3" s="333"/>
      <c r="F3" s="333"/>
      <c r="G3" s="333"/>
      <c r="H3" s="333"/>
      <c r="I3" s="333"/>
      <c r="J3" s="333"/>
    </row>
    <row r="4" spans="1:33">
      <c r="A4" s="334" t="str">
        <f>+Expenses!B4</f>
        <v>Results based on activity through May 18, 2001</v>
      </c>
      <c r="B4" s="334"/>
      <c r="C4" s="334"/>
      <c r="D4" s="334"/>
      <c r="E4" s="334"/>
      <c r="F4" s="334"/>
      <c r="G4" s="334"/>
      <c r="H4" s="334"/>
      <c r="I4" s="334"/>
      <c r="J4" s="334"/>
    </row>
    <row r="5" spans="1:33" ht="3" customHeight="1"/>
    <row r="6" spans="1:33" s="31" customFormat="1">
      <c r="A6" s="123"/>
      <c r="B6" s="50"/>
      <c r="C6" s="326" t="s">
        <v>25</v>
      </c>
      <c r="D6" s="327"/>
      <c r="E6" s="328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9" t="s">
        <v>38</v>
      </c>
      <c r="H7" s="330"/>
      <c r="I7" s="330"/>
      <c r="J7" s="331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133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hidden="1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0</v>
      </c>
      <c r="D16" s="141">
        <f>+Expenses!E16-[4]Expenses!E16</f>
        <v>0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0</v>
      </c>
      <c r="D20" s="141">
        <f>+Expenses!E20-[4]Expenses!E20</f>
        <v>0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6" t="s">
        <v>48</v>
      </c>
      <c r="D31" s="327"/>
      <c r="E31" s="328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9" t="s">
        <v>38</v>
      </c>
      <c r="H32" s="330"/>
      <c r="I32" s="330"/>
      <c r="J32" s="331"/>
    </row>
    <row r="33" spans="1:33" s="50" customFormat="1" ht="12" hidden="1">
      <c r="A33" s="123"/>
      <c r="C33" s="140">
        <f>[3]Expenses!D33-[3]Expenses!D29</f>
        <v>0</v>
      </c>
      <c r="D33" s="141">
        <f>[3]Expenses!E33-[3]Expenses!E29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[3]Expenses!D34-[3]Expenses!D30</f>
        <v>0</v>
      </c>
      <c r="D34" s="141">
        <f>[3]Expenses!E34-[3]Expenses!E30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[3]Expenses!D35-[3]Expenses!D31</f>
        <v>#VALUE!</v>
      </c>
      <c r="D35" s="154">
        <f>[3]Expenses!E35-[3]Expenses!E31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H32" sqref="H32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hidden="1" customWidth="1"/>
    <col min="7" max="8" width="7.6640625" hidden="1" customWidth="1"/>
    <col min="9" max="9" width="8.5546875" hidden="1" customWidth="1"/>
    <col min="10" max="10" width="1.88671875" hidden="1" customWidth="1"/>
    <col min="11" max="13" width="8.6640625" customWidth="1"/>
    <col min="14" max="16" width="14.88671875" customWidth="1"/>
  </cols>
  <sheetData>
    <row r="1" spans="1:20" hidden="1">
      <c r="A1" s="10" t="s">
        <v>42</v>
      </c>
    </row>
    <row r="2" spans="1:20" ht="15.6">
      <c r="A2" s="10" t="s">
        <v>29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</row>
    <row r="3" spans="1:20" ht="13.8">
      <c r="A3" s="10" t="s">
        <v>30</v>
      </c>
      <c r="B3" s="333" t="s">
        <v>120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</row>
    <row r="4" spans="1:20">
      <c r="A4" s="11">
        <v>36861</v>
      </c>
      <c r="B4" s="334" t="str">
        <f>+'Mgmt Summary'!A3</f>
        <v>Results based on activity through May 18, 2001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9" t="s">
        <v>31</v>
      </c>
      <c r="E7" s="330"/>
      <c r="F7" s="330"/>
      <c r="G7" s="330"/>
      <c r="H7" s="330"/>
      <c r="I7" s="331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8" t="s">
        <v>32</v>
      </c>
      <c r="H8" s="339"/>
      <c r="I8" s="340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6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9979.1720000000005</v>
      </c>
      <c r="L10" s="172">
        <v>9979.1720000000005</v>
      </c>
      <c r="M10" s="176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133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4167.0200000000004</v>
      </c>
      <c r="L11" s="172">
        <f>3365.73+801.29</f>
        <v>4167.0200000000004</v>
      </c>
      <c r="M11" s="142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0</v>
      </c>
      <c r="L12" s="172">
        <v>0</v>
      </c>
      <c r="M12" s="142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hidden="1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0</v>
      </c>
      <c r="L13" s="172">
        <v>0</v>
      </c>
      <c r="M13" s="142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1777.6249999999998</v>
      </c>
      <c r="L14" s="172">
        <f>2095.787-318.162</f>
        <v>1777.6249999999998</v>
      </c>
      <c r="M14" s="142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955.69299999999998</v>
      </c>
      <c r="L15" s="172">
        <v>955.69299999999998</v>
      </c>
      <c r="M15" s="142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2270.6309999999999</v>
      </c>
      <c r="L16" s="172">
        <v>2270.6309999999999</v>
      </c>
      <c r="M16" s="176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577.41800000000001</v>
      </c>
      <c r="L17" s="172">
        <v>577.41800000000001</v>
      </c>
      <c r="M17" s="176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1191.846</v>
      </c>
      <c r="L18" s="172">
        <v>1191.846</v>
      </c>
      <c r="M18" s="176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6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6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42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42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22036.860000000008</v>
      </c>
      <c r="L23" s="57">
        <f>SUM(L10:L22)</f>
        <v>22036.860000000008</v>
      </c>
      <c r="M23" s="180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42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42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-22036.860000000008</v>
      </c>
      <c r="L26" s="141">
        <f>-L23</f>
        <v>-22036.860000000008</v>
      </c>
      <c r="M26" s="142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42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9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313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42</v>
      </c>
      <c r="B1" s="344" t="s">
        <v>69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40" ht="13.8">
      <c r="A2" s="10" t="s">
        <v>44</v>
      </c>
      <c r="B2" s="345" t="s">
        <v>66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40">
      <c r="A3" s="10" t="s">
        <v>45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1" t="s">
        <v>64</v>
      </c>
      <c r="E6" s="342"/>
      <c r="F6" s="343"/>
      <c r="G6" s="1"/>
      <c r="H6" s="341" t="s">
        <v>65</v>
      </c>
      <c r="I6" s="342"/>
      <c r="J6" s="343"/>
      <c r="K6" s="1"/>
      <c r="L6" s="341" t="s">
        <v>37</v>
      </c>
      <c r="M6" s="342"/>
      <c r="N6" s="34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2001-05-21T12:46:55Z</cp:lastPrinted>
  <dcterms:created xsi:type="dcterms:W3CDTF">1999-10-18T12:36:30Z</dcterms:created>
  <dcterms:modified xsi:type="dcterms:W3CDTF">2023-09-10T11:38:30Z</dcterms:modified>
</cp:coreProperties>
</file>