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712"/>
  </bookViews>
  <sheets>
    <sheet name="Assum. used in model" sheetId="1" r:id="rId1"/>
    <sheet name="Cashflows" sheetId="2" r:id="rId2"/>
    <sheet name="Tax Scenarios" sheetId="3" r:id="rId3"/>
    <sheet name="Employee Reimbur." sheetId="4" r:id="rId4"/>
    <sheet name="Sheet5" sheetId="5" r:id="rId5"/>
    <sheet name="Sheet6" sheetId="6" r:id="rId6"/>
  </sheets>
  <definedNames>
    <definedName name="_xlnm.Print_Area" localSheetId="0">'Assum. used in model'!$A$1:$O$86</definedName>
    <definedName name="_xlnm.Print_Area" localSheetId="1">Cashflows!$A$1:$P$83</definedName>
    <definedName name="_xlnm.Print_Area" localSheetId="3">'Employee Reimbur.'!$A$1:$M$32</definedName>
    <definedName name="_xlnm.Print_Area" localSheetId="2">'Tax Scenarios'!$A$1:$K$37</definedName>
  </definedNames>
  <calcPr calcId="0"/>
</workbook>
</file>

<file path=xl/calcChain.xml><?xml version="1.0" encoding="utf-8"?>
<calcChain xmlns="http://schemas.openxmlformats.org/spreadsheetml/2006/main">
  <c r="J9" i="1" l="1"/>
  <c r="J10" i="1"/>
  <c r="J11" i="1"/>
  <c r="L11" i="1"/>
  <c r="M11" i="1"/>
  <c r="N11" i="1"/>
  <c r="O11" i="1"/>
  <c r="J12" i="1"/>
  <c r="J13" i="1"/>
  <c r="J14" i="1"/>
  <c r="J15" i="1"/>
  <c r="J16" i="1"/>
  <c r="J17" i="1"/>
  <c r="J18" i="1"/>
  <c r="J19" i="1"/>
  <c r="J20" i="1"/>
  <c r="J23" i="1"/>
  <c r="J24" i="1"/>
  <c r="J25" i="1"/>
  <c r="M25" i="1"/>
  <c r="N25" i="1"/>
  <c r="O25" i="1"/>
  <c r="J26" i="1"/>
  <c r="L26" i="1"/>
  <c r="M26" i="1"/>
  <c r="N26" i="1"/>
  <c r="O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L52" i="1"/>
  <c r="M52" i="1"/>
  <c r="N52" i="1"/>
  <c r="O52" i="1"/>
  <c r="J53" i="1"/>
  <c r="L53" i="1"/>
  <c r="M53" i="1"/>
  <c r="N53" i="1"/>
  <c r="O53" i="1"/>
  <c r="J54" i="1"/>
  <c r="N54" i="1"/>
  <c r="O54" i="1"/>
  <c r="J55" i="1"/>
  <c r="J56" i="1"/>
  <c r="J57" i="1"/>
  <c r="J58" i="1"/>
  <c r="J59" i="1"/>
  <c r="L59" i="1"/>
  <c r="M59" i="1"/>
  <c r="N59" i="1"/>
  <c r="O59" i="1"/>
  <c r="J60" i="1"/>
  <c r="J61" i="1"/>
  <c r="J62" i="1"/>
  <c r="J63" i="1"/>
  <c r="J64" i="1"/>
  <c r="J65" i="1"/>
  <c r="N65" i="1"/>
  <c r="O65" i="1"/>
  <c r="J66" i="1"/>
  <c r="J67" i="1"/>
  <c r="J68" i="1"/>
  <c r="J71" i="1"/>
  <c r="L71" i="1"/>
  <c r="M71" i="1"/>
  <c r="N71" i="1"/>
  <c r="O71" i="1"/>
  <c r="J72" i="1"/>
  <c r="J73" i="1"/>
  <c r="J74" i="1"/>
  <c r="J75" i="1"/>
  <c r="J76" i="1"/>
  <c r="J77" i="1"/>
  <c r="J78" i="1"/>
  <c r="N81" i="1"/>
  <c r="A1" i="2"/>
  <c r="C5" i="2"/>
  <c r="F11" i="2"/>
  <c r="G11" i="2"/>
  <c r="H11" i="2"/>
  <c r="I11" i="2"/>
  <c r="J11" i="2"/>
  <c r="K11" i="2"/>
  <c r="L11" i="2"/>
  <c r="M11" i="2"/>
  <c r="N11" i="2"/>
  <c r="P11" i="2"/>
  <c r="E12" i="2"/>
  <c r="F12" i="2"/>
  <c r="G12" i="2"/>
  <c r="H12" i="2"/>
  <c r="I12" i="2"/>
  <c r="J12" i="2"/>
  <c r="K12" i="2"/>
  <c r="L12" i="2"/>
  <c r="M12" i="2"/>
  <c r="N12" i="2"/>
  <c r="P12" i="2"/>
  <c r="F15" i="2"/>
  <c r="G15" i="2"/>
  <c r="H15" i="2"/>
  <c r="I15" i="2"/>
  <c r="J15" i="2"/>
  <c r="K15" i="2"/>
  <c r="L15" i="2"/>
  <c r="M15" i="2"/>
  <c r="N15" i="2"/>
  <c r="P15" i="2"/>
  <c r="E16" i="2"/>
  <c r="F16" i="2"/>
  <c r="G16" i="2"/>
  <c r="H16" i="2"/>
  <c r="I16" i="2"/>
  <c r="J16" i="2"/>
  <c r="K16" i="2"/>
  <c r="L16" i="2"/>
  <c r="M16" i="2"/>
  <c r="N16" i="2"/>
  <c r="P16" i="2"/>
  <c r="E18" i="2"/>
  <c r="F18" i="2"/>
  <c r="G18" i="2"/>
  <c r="H18" i="2"/>
  <c r="I18" i="2"/>
  <c r="J18" i="2"/>
  <c r="K18" i="2"/>
  <c r="L18" i="2"/>
  <c r="M18" i="2"/>
  <c r="N18" i="2"/>
  <c r="P18" i="2"/>
  <c r="F21" i="2"/>
  <c r="G21" i="2"/>
  <c r="H21" i="2"/>
  <c r="I21" i="2"/>
  <c r="J21" i="2"/>
  <c r="K21" i="2"/>
  <c r="L21" i="2"/>
  <c r="M21" i="2"/>
  <c r="N21" i="2"/>
  <c r="P21" i="2"/>
  <c r="E22" i="2"/>
  <c r="F22" i="2"/>
  <c r="G22" i="2"/>
  <c r="H22" i="2"/>
  <c r="I22" i="2"/>
  <c r="J22" i="2"/>
  <c r="K22" i="2"/>
  <c r="L22" i="2"/>
  <c r="M22" i="2"/>
  <c r="N22" i="2"/>
  <c r="P22" i="2"/>
  <c r="F25" i="2"/>
  <c r="G25" i="2"/>
  <c r="H25" i="2"/>
  <c r="I25" i="2"/>
  <c r="J25" i="2"/>
  <c r="K25" i="2"/>
  <c r="L25" i="2"/>
  <c r="M25" i="2"/>
  <c r="N25" i="2"/>
  <c r="P25" i="2"/>
  <c r="E26" i="2"/>
  <c r="F26" i="2"/>
  <c r="G26" i="2"/>
  <c r="H26" i="2"/>
  <c r="I26" i="2"/>
  <c r="J26" i="2"/>
  <c r="K26" i="2"/>
  <c r="L26" i="2"/>
  <c r="M26" i="2"/>
  <c r="N26" i="2"/>
  <c r="P26" i="2"/>
  <c r="E28" i="2"/>
  <c r="F28" i="2"/>
  <c r="G28" i="2"/>
  <c r="H28" i="2"/>
  <c r="I28" i="2"/>
  <c r="J28" i="2"/>
  <c r="K28" i="2"/>
  <c r="L28" i="2"/>
  <c r="M28" i="2"/>
  <c r="N28" i="2"/>
  <c r="P28" i="2"/>
  <c r="E32" i="2"/>
  <c r="F32" i="2"/>
  <c r="G32" i="2"/>
  <c r="H32" i="2"/>
  <c r="I32" i="2"/>
  <c r="J32" i="2"/>
  <c r="K32" i="2"/>
  <c r="L32" i="2"/>
  <c r="M32" i="2"/>
  <c r="N32" i="2"/>
  <c r="P32" i="2"/>
  <c r="E33" i="2"/>
  <c r="F33" i="2"/>
  <c r="G33" i="2"/>
  <c r="H33" i="2"/>
  <c r="I33" i="2"/>
  <c r="J33" i="2"/>
  <c r="K33" i="2"/>
  <c r="L33" i="2"/>
  <c r="M33" i="2"/>
  <c r="N33" i="2"/>
  <c r="P33" i="2"/>
  <c r="E34" i="2"/>
  <c r="F34" i="2"/>
  <c r="G34" i="2"/>
  <c r="H34" i="2"/>
  <c r="I34" i="2"/>
  <c r="J34" i="2"/>
  <c r="K34" i="2"/>
  <c r="L34" i="2"/>
  <c r="M34" i="2"/>
  <c r="N34" i="2"/>
  <c r="P34" i="2"/>
  <c r="E35" i="2"/>
  <c r="F35" i="2"/>
  <c r="G35" i="2"/>
  <c r="H35" i="2"/>
  <c r="I35" i="2"/>
  <c r="J35" i="2"/>
  <c r="K35" i="2"/>
  <c r="L35" i="2"/>
  <c r="M35" i="2"/>
  <c r="N35" i="2"/>
  <c r="P35" i="2"/>
  <c r="E36" i="2"/>
  <c r="F36" i="2"/>
  <c r="G36" i="2"/>
  <c r="H36" i="2"/>
  <c r="I36" i="2"/>
  <c r="J36" i="2"/>
  <c r="K36" i="2"/>
  <c r="L36" i="2"/>
  <c r="M36" i="2"/>
  <c r="N36" i="2"/>
  <c r="P36" i="2"/>
  <c r="E37" i="2"/>
  <c r="F37" i="2"/>
  <c r="G37" i="2"/>
  <c r="H37" i="2"/>
  <c r="I37" i="2"/>
  <c r="J37" i="2"/>
  <c r="K37" i="2"/>
  <c r="L37" i="2"/>
  <c r="M37" i="2"/>
  <c r="N37" i="2"/>
  <c r="P37" i="2"/>
  <c r="E38" i="2"/>
  <c r="F38" i="2"/>
  <c r="G38" i="2"/>
  <c r="H38" i="2"/>
  <c r="I38" i="2"/>
  <c r="J38" i="2"/>
  <c r="K38" i="2"/>
  <c r="L38" i="2"/>
  <c r="M38" i="2"/>
  <c r="N38" i="2"/>
  <c r="P38" i="2"/>
  <c r="E39" i="2"/>
  <c r="F39" i="2"/>
  <c r="G39" i="2"/>
  <c r="H39" i="2"/>
  <c r="I39" i="2"/>
  <c r="J39" i="2"/>
  <c r="K39" i="2"/>
  <c r="L39" i="2"/>
  <c r="M39" i="2"/>
  <c r="N39" i="2"/>
  <c r="P39" i="2"/>
  <c r="E40" i="2"/>
  <c r="F40" i="2"/>
  <c r="G40" i="2"/>
  <c r="H40" i="2"/>
  <c r="I40" i="2"/>
  <c r="J40" i="2"/>
  <c r="K40" i="2"/>
  <c r="L40" i="2"/>
  <c r="M40" i="2"/>
  <c r="N40" i="2"/>
  <c r="P40" i="2"/>
  <c r="E41" i="2"/>
  <c r="F41" i="2"/>
  <c r="G41" i="2"/>
  <c r="H41" i="2"/>
  <c r="I41" i="2"/>
  <c r="J41" i="2"/>
  <c r="K41" i="2"/>
  <c r="L41" i="2"/>
  <c r="M41" i="2"/>
  <c r="N41" i="2"/>
  <c r="P41" i="2"/>
  <c r="F42" i="2"/>
  <c r="G42" i="2"/>
  <c r="H42" i="2"/>
  <c r="I42" i="2"/>
  <c r="J42" i="2"/>
  <c r="K42" i="2"/>
  <c r="L42" i="2"/>
  <c r="M42" i="2"/>
  <c r="N42" i="2"/>
  <c r="P42" i="2"/>
  <c r="E44" i="2"/>
  <c r="F44" i="2"/>
  <c r="G44" i="2"/>
  <c r="H44" i="2"/>
  <c r="I44" i="2"/>
  <c r="J44" i="2"/>
  <c r="K44" i="2"/>
  <c r="L44" i="2"/>
  <c r="M44" i="2"/>
  <c r="N44" i="2"/>
  <c r="P44" i="2"/>
  <c r="E49" i="2"/>
  <c r="F49" i="2"/>
  <c r="G49" i="2"/>
  <c r="H49" i="2"/>
  <c r="I49" i="2"/>
  <c r="J49" i="2"/>
  <c r="K49" i="2"/>
  <c r="L49" i="2"/>
  <c r="M49" i="2"/>
  <c r="N49" i="2"/>
  <c r="P49" i="2"/>
  <c r="E50" i="2"/>
  <c r="F50" i="2"/>
  <c r="G50" i="2"/>
  <c r="H50" i="2"/>
  <c r="I50" i="2"/>
  <c r="J50" i="2"/>
  <c r="K50" i="2"/>
  <c r="L50" i="2"/>
  <c r="M50" i="2"/>
  <c r="N50" i="2"/>
  <c r="P50" i="2"/>
  <c r="E51" i="2"/>
  <c r="F51" i="2"/>
  <c r="G51" i="2"/>
  <c r="H51" i="2"/>
  <c r="I51" i="2"/>
  <c r="J51" i="2"/>
  <c r="K51" i="2"/>
  <c r="L51" i="2"/>
  <c r="M51" i="2"/>
  <c r="N51" i="2"/>
  <c r="P51" i="2"/>
  <c r="E52" i="2"/>
  <c r="F52" i="2"/>
  <c r="G52" i="2"/>
  <c r="H52" i="2"/>
  <c r="I52" i="2"/>
  <c r="J52" i="2"/>
  <c r="K52" i="2"/>
  <c r="L52" i="2"/>
  <c r="M52" i="2"/>
  <c r="N52" i="2"/>
  <c r="P52" i="2"/>
  <c r="F53" i="2"/>
  <c r="G53" i="2"/>
  <c r="H53" i="2"/>
  <c r="I53" i="2"/>
  <c r="J53" i="2"/>
  <c r="K53" i="2"/>
  <c r="L53" i="2"/>
  <c r="M53" i="2"/>
  <c r="N53" i="2"/>
  <c r="E54" i="2"/>
  <c r="F54" i="2"/>
  <c r="G54" i="2"/>
  <c r="H54" i="2"/>
  <c r="I54" i="2"/>
  <c r="J54" i="2"/>
  <c r="K54" i="2"/>
  <c r="L54" i="2"/>
  <c r="M54" i="2"/>
  <c r="N54" i="2"/>
  <c r="P54" i="2"/>
  <c r="E55" i="2"/>
  <c r="F55" i="2"/>
  <c r="G55" i="2"/>
  <c r="H55" i="2"/>
  <c r="I55" i="2"/>
  <c r="J55" i="2"/>
  <c r="K55" i="2"/>
  <c r="L55" i="2"/>
  <c r="M55" i="2"/>
  <c r="N55" i="2"/>
  <c r="P55" i="2"/>
  <c r="F56" i="2"/>
  <c r="G56" i="2"/>
  <c r="H56" i="2"/>
  <c r="I56" i="2"/>
  <c r="J56" i="2"/>
  <c r="K56" i="2"/>
  <c r="L56" i="2"/>
  <c r="M56" i="2"/>
  <c r="N56" i="2"/>
  <c r="P56" i="2"/>
  <c r="E57" i="2"/>
  <c r="F57" i="2"/>
  <c r="G57" i="2"/>
  <c r="H57" i="2"/>
  <c r="I57" i="2"/>
  <c r="J57" i="2"/>
  <c r="K57" i="2"/>
  <c r="L57" i="2"/>
  <c r="M57" i="2"/>
  <c r="N57" i="2"/>
  <c r="P57" i="2"/>
  <c r="F58" i="2"/>
  <c r="P58" i="2"/>
  <c r="F59" i="2"/>
  <c r="P59" i="2"/>
  <c r="F60" i="2"/>
  <c r="G60" i="2"/>
  <c r="H60" i="2"/>
  <c r="I60" i="2"/>
  <c r="J60" i="2"/>
  <c r="K60" i="2"/>
  <c r="L60" i="2"/>
  <c r="M60" i="2"/>
  <c r="N60" i="2"/>
  <c r="P60" i="2"/>
  <c r="F61" i="2"/>
  <c r="P61" i="2"/>
  <c r="F62" i="2"/>
  <c r="G62" i="2"/>
  <c r="H62" i="2"/>
  <c r="I62" i="2"/>
  <c r="J62" i="2"/>
  <c r="K62" i="2"/>
  <c r="L62" i="2"/>
  <c r="M62" i="2"/>
  <c r="N62" i="2"/>
  <c r="P62" i="2"/>
  <c r="E63" i="2"/>
  <c r="F63" i="2"/>
  <c r="G63" i="2"/>
  <c r="H63" i="2"/>
  <c r="I63" i="2"/>
  <c r="J63" i="2"/>
  <c r="K63" i="2"/>
  <c r="L63" i="2"/>
  <c r="M63" i="2"/>
  <c r="N63" i="2"/>
  <c r="P63" i="2"/>
  <c r="F64" i="2"/>
  <c r="G64" i="2"/>
  <c r="H64" i="2"/>
  <c r="I64" i="2"/>
  <c r="J64" i="2"/>
  <c r="K64" i="2"/>
  <c r="L64" i="2"/>
  <c r="M64" i="2"/>
  <c r="N64" i="2"/>
  <c r="P64" i="2"/>
  <c r="F65" i="2"/>
  <c r="G65" i="2"/>
  <c r="H65" i="2"/>
  <c r="I65" i="2"/>
  <c r="J65" i="2"/>
  <c r="K65" i="2"/>
  <c r="L65" i="2"/>
  <c r="M65" i="2"/>
  <c r="N65" i="2"/>
  <c r="P65" i="2"/>
  <c r="F66" i="2"/>
  <c r="G66" i="2"/>
  <c r="H66" i="2"/>
  <c r="I66" i="2"/>
  <c r="J66" i="2"/>
  <c r="K66" i="2"/>
  <c r="L66" i="2"/>
  <c r="M66" i="2"/>
  <c r="N66" i="2"/>
  <c r="P66" i="2"/>
  <c r="F67" i="2"/>
  <c r="G67" i="2"/>
  <c r="H67" i="2"/>
  <c r="I67" i="2"/>
  <c r="J67" i="2"/>
  <c r="K67" i="2"/>
  <c r="L67" i="2"/>
  <c r="M67" i="2"/>
  <c r="N67" i="2"/>
  <c r="P67" i="2"/>
  <c r="F68" i="2"/>
  <c r="G68" i="2"/>
  <c r="H68" i="2"/>
  <c r="I68" i="2"/>
  <c r="J68" i="2"/>
  <c r="K68" i="2"/>
  <c r="L68" i="2"/>
  <c r="M68" i="2"/>
  <c r="N68" i="2"/>
  <c r="P68" i="2"/>
  <c r="F69" i="2"/>
  <c r="G69" i="2"/>
  <c r="H69" i="2"/>
  <c r="I69" i="2"/>
  <c r="J69" i="2"/>
  <c r="K69" i="2"/>
  <c r="L69" i="2"/>
  <c r="M69" i="2"/>
  <c r="N69" i="2"/>
  <c r="P69" i="2"/>
  <c r="F70" i="2"/>
  <c r="G70" i="2"/>
  <c r="H70" i="2"/>
  <c r="I70" i="2"/>
  <c r="J70" i="2"/>
  <c r="K70" i="2"/>
  <c r="L70" i="2"/>
  <c r="M70" i="2"/>
  <c r="N70" i="2"/>
  <c r="P70" i="2"/>
  <c r="E71" i="2"/>
  <c r="P71" i="2"/>
  <c r="E72" i="2"/>
  <c r="F72" i="2"/>
  <c r="G72" i="2"/>
  <c r="H72" i="2"/>
  <c r="I72" i="2"/>
  <c r="J72" i="2"/>
  <c r="K72" i="2"/>
  <c r="L72" i="2"/>
  <c r="M72" i="2"/>
  <c r="N72" i="2"/>
  <c r="P72" i="2"/>
  <c r="E74" i="2"/>
  <c r="F74" i="2"/>
  <c r="G74" i="2"/>
  <c r="H74" i="2"/>
  <c r="I74" i="2"/>
  <c r="J74" i="2"/>
  <c r="K74" i="2"/>
  <c r="L74" i="2"/>
  <c r="M74" i="2"/>
  <c r="N74" i="2"/>
  <c r="P74" i="2"/>
  <c r="E76" i="2"/>
  <c r="F76" i="2"/>
  <c r="G76" i="2"/>
  <c r="H76" i="2"/>
  <c r="I76" i="2"/>
  <c r="J76" i="2"/>
  <c r="K76" i="2"/>
  <c r="L76" i="2"/>
  <c r="M76" i="2"/>
  <c r="N76" i="2"/>
  <c r="P76" i="2"/>
  <c r="E78" i="2"/>
  <c r="F78" i="2"/>
  <c r="G78" i="2"/>
  <c r="H78" i="2"/>
  <c r="I78" i="2"/>
  <c r="J78" i="2"/>
  <c r="K78" i="2"/>
  <c r="L78" i="2"/>
  <c r="M78" i="2"/>
  <c r="N78" i="2"/>
  <c r="P78" i="2"/>
  <c r="F81" i="2"/>
  <c r="F82" i="2"/>
  <c r="E85" i="2"/>
  <c r="F85" i="2"/>
  <c r="G85" i="2"/>
  <c r="H85" i="2"/>
  <c r="E89" i="2"/>
  <c r="F89" i="2"/>
  <c r="G89" i="2"/>
  <c r="H89" i="2"/>
  <c r="I89" i="2"/>
  <c r="J89" i="2"/>
  <c r="K89" i="2"/>
  <c r="L89" i="2"/>
  <c r="M89" i="2"/>
  <c r="N89" i="2"/>
  <c r="A1" i="4"/>
  <c r="B5" i="4"/>
  <c r="E8" i="4"/>
  <c r="F8" i="4"/>
  <c r="G8" i="4"/>
  <c r="H8" i="4"/>
  <c r="I8" i="4"/>
  <c r="J8" i="4"/>
  <c r="K8" i="4"/>
  <c r="L8" i="4"/>
  <c r="M8" i="4"/>
  <c r="F9" i="4"/>
  <c r="G9" i="4"/>
  <c r="H9" i="4"/>
  <c r="I9" i="4"/>
  <c r="J9" i="4"/>
  <c r="K9" i="4"/>
  <c r="L9" i="4"/>
  <c r="M9" i="4"/>
  <c r="E10" i="4"/>
  <c r="F10" i="4"/>
  <c r="G10" i="4"/>
  <c r="H10" i="4"/>
  <c r="I10" i="4"/>
  <c r="J10" i="4"/>
  <c r="K10" i="4"/>
  <c r="L10" i="4"/>
  <c r="M10" i="4"/>
  <c r="F11" i="4"/>
  <c r="G11" i="4"/>
  <c r="H11" i="4"/>
  <c r="I11" i="4"/>
  <c r="J11" i="4"/>
  <c r="K11" i="4"/>
  <c r="L11" i="4"/>
  <c r="M11" i="4"/>
  <c r="N11" i="4"/>
  <c r="E12" i="4"/>
  <c r="F12" i="4"/>
  <c r="G12" i="4"/>
  <c r="H12" i="4"/>
  <c r="I12" i="4"/>
  <c r="J12" i="4"/>
  <c r="K12" i="4"/>
  <c r="L12" i="4"/>
  <c r="M12" i="4"/>
  <c r="F15" i="4"/>
  <c r="F16" i="4"/>
  <c r="E17" i="4"/>
  <c r="F17" i="4"/>
  <c r="F20" i="4"/>
  <c r="F21" i="4"/>
  <c r="E29" i="4"/>
  <c r="F29" i="4"/>
  <c r="G29" i="4"/>
  <c r="H29" i="4"/>
  <c r="I29" i="4"/>
  <c r="J29" i="4"/>
  <c r="K29" i="4"/>
  <c r="L29" i="4"/>
  <c r="M29" i="4"/>
  <c r="E30" i="4"/>
  <c r="F30" i="4"/>
  <c r="G30" i="4"/>
  <c r="H30" i="4"/>
  <c r="I30" i="4"/>
  <c r="J30" i="4"/>
  <c r="K30" i="4"/>
  <c r="L30" i="4"/>
  <c r="M30" i="4"/>
  <c r="E31" i="4"/>
  <c r="F31" i="4"/>
  <c r="G31" i="4"/>
  <c r="H31" i="4"/>
  <c r="I31" i="4"/>
  <c r="J31" i="4"/>
  <c r="K31" i="4"/>
  <c r="L31" i="4"/>
  <c r="M31" i="4"/>
  <c r="F34" i="4"/>
  <c r="G34" i="4"/>
  <c r="H34" i="4"/>
  <c r="I34" i="4"/>
  <c r="J34" i="4"/>
  <c r="K34" i="4"/>
  <c r="L34" i="4"/>
  <c r="M34" i="4"/>
  <c r="A1" i="5"/>
  <c r="A1" i="6"/>
  <c r="A1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7" i="3"/>
  <c r="F17" i="3"/>
  <c r="G17" i="3"/>
  <c r="H17" i="3"/>
  <c r="E18" i="3"/>
  <c r="F18" i="3"/>
  <c r="G18" i="3"/>
  <c r="H18" i="3"/>
  <c r="E19" i="3"/>
  <c r="F19" i="3"/>
  <c r="G19" i="3"/>
  <c r="H19" i="3"/>
  <c r="E32" i="3"/>
  <c r="E33" i="3"/>
  <c r="E36" i="3"/>
</calcChain>
</file>

<file path=xl/sharedStrings.xml><?xml version="1.0" encoding="utf-8"?>
<sst xmlns="http://schemas.openxmlformats.org/spreadsheetml/2006/main" count="338" uniqueCount="209">
  <si>
    <t>Assumptions</t>
  </si>
  <si>
    <t>Scenario Choice</t>
  </si>
  <si>
    <t>Enron PC and ISP Analysis</t>
  </si>
  <si>
    <t>Cashflow Analysis</t>
  </si>
  <si>
    <t>Employees to participate</t>
  </si>
  <si>
    <t>Frequency</t>
  </si>
  <si>
    <t>Annual</t>
  </si>
  <si>
    <t>One Time</t>
  </si>
  <si>
    <t>Employee co-pay</t>
  </si>
  <si>
    <t xml:space="preserve">Reduction in fax/other office expense </t>
  </si>
  <si>
    <t>No</t>
  </si>
  <si>
    <t>Employee co-pay amount</t>
  </si>
  <si>
    <t>Commercial sales amount</t>
  </si>
  <si>
    <t>Commercial sales</t>
  </si>
  <si>
    <t>Discount rate</t>
  </si>
  <si>
    <t>eCommerce revenue sharing</t>
  </si>
  <si>
    <t>Content licensing</t>
  </si>
  <si>
    <t>Reduction in training expense (including travel)</t>
  </si>
  <si>
    <t>Yes</t>
  </si>
  <si>
    <t>Scenario 1</t>
  </si>
  <si>
    <t>Scenario 2</t>
  </si>
  <si>
    <t>Scenario 3</t>
  </si>
  <si>
    <t>Scenario 4</t>
  </si>
  <si>
    <t>Year</t>
  </si>
  <si>
    <t>Revenues/Benefits</t>
  </si>
  <si>
    <t>Reduction in fax/other office expenses</t>
  </si>
  <si>
    <t>Reduced training costs</t>
  </si>
  <si>
    <t>Commercial revenue</t>
  </si>
  <si>
    <t>Add benefit here</t>
  </si>
  <si>
    <t>Expenses/Costs</t>
  </si>
  <si>
    <t>Employee co-pay amounts</t>
  </si>
  <si>
    <t>Enhanced employee productivity</t>
  </si>
  <si>
    <t>Hardware purchase cost</t>
  </si>
  <si>
    <t>Content licensing cost</t>
  </si>
  <si>
    <t>Tax Scenarios</t>
  </si>
  <si>
    <t>Enron Income</t>
  </si>
  <si>
    <t>Enron Corp.</t>
  </si>
  <si>
    <t>Enron Employee</t>
  </si>
  <si>
    <t>Tax Treatment A</t>
  </si>
  <si>
    <t>Tax Treatment B</t>
  </si>
  <si>
    <t>Tax Treatment C</t>
  </si>
  <si>
    <t>Tax Treatment D</t>
  </si>
  <si>
    <t>Imputed Income</t>
  </si>
  <si>
    <t>Tax Liability</t>
  </si>
  <si>
    <t>Total</t>
  </si>
  <si>
    <t>Tax treatment (A, B, C or D)</t>
  </si>
  <si>
    <t>Participation Rate - A</t>
  </si>
  <si>
    <t>Participation Rate - B, C and D</t>
  </si>
  <si>
    <t>Enron Employee Ave. Tax Rate</t>
  </si>
  <si>
    <t>Computer Useful Life</t>
  </si>
  <si>
    <t>Yrs.</t>
  </si>
  <si>
    <t>Employees Participating in Free PC Program</t>
  </si>
  <si>
    <t>PC Package Cost</t>
  </si>
  <si>
    <t>per month</t>
  </si>
  <si>
    <t>Months per Year</t>
  </si>
  <si>
    <t>Enron Pre-tax Expense/Year for 3 Years</t>
  </si>
  <si>
    <t>Enron Post-tax Expense/Year for 3 Years</t>
  </si>
  <si>
    <t>Enron Cash Outflow (3 Year Total)</t>
  </si>
  <si>
    <t>Enron Lease Payment per PC Package Pass Thru Amount</t>
  </si>
  <si>
    <t xml:space="preserve">      Total Cost to Employee*</t>
  </si>
  <si>
    <t>* Tax Treatment A Enron Employee Cost is a one time cost, while B,C &amp; D are yearly costs for 3 years</t>
  </si>
  <si>
    <t>Purchase equipment; amortize for business deduction; may be employee taxable income; assumes 75% participation rate; imputed income depends on Enron's value</t>
  </si>
  <si>
    <t>Lease equipment and retain ownership of lease; pass through lease costs to employees as monthly co-pay; no tax consequence for employees</t>
  </si>
  <si>
    <t>Take "working condition fringe benefit tax position" which requires monitoring of equipment use to ensure 50% business use; no emp tax but risky</t>
  </si>
  <si>
    <t xml:space="preserve">TT A - </t>
  </si>
  <si>
    <t xml:space="preserve">TT B - </t>
  </si>
  <si>
    <t xml:space="preserve">TT C - </t>
  </si>
  <si>
    <t xml:space="preserve">TT D - </t>
  </si>
  <si>
    <t>Co-pay amount (monthly)</t>
  </si>
  <si>
    <t>Enron Tax Benefit Rate</t>
  </si>
  <si>
    <t>Months per year</t>
  </si>
  <si>
    <t xml:space="preserve">     Total Revenue/Benefits</t>
  </si>
  <si>
    <t xml:space="preserve">     Total Expenses/Costs</t>
  </si>
  <si>
    <t xml:space="preserve">Number of participating employees </t>
  </si>
  <si>
    <t>Hardware lease charge</t>
  </si>
  <si>
    <t>Hardware lease cost</t>
  </si>
  <si>
    <t>Per Unit</t>
  </si>
  <si>
    <t>Lease hardware</t>
  </si>
  <si>
    <t>Purchase hardware</t>
  </si>
  <si>
    <t>Red Text = Hard coded number</t>
  </si>
  <si>
    <t>Blue Text = Assumptions</t>
  </si>
  <si>
    <t>Black Text = Formulas</t>
  </si>
  <si>
    <t>Number of employees added to participate</t>
  </si>
  <si>
    <t>Black Text = Formulas/Text</t>
  </si>
  <si>
    <t>Growth Rate</t>
  </si>
  <si>
    <t>Retention Benefit</t>
  </si>
  <si>
    <t>D</t>
  </si>
  <si>
    <t>Scenario in Use</t>
  </si>
  <si>
    <t>Net Pre-Tax Gain/(Loss)</t>
  </si>
  <si>
    <t>Net Post-Tax Gain/(Loss)</t>
  </si>
  <si>
    <t>Tax Benefit/(Cost)</t>
  </si>
  <si>
    <t>Lease equipment and retain ownership of lease</t>
  </si>
  <si>
    <t>Tax benefit rate</t>
  </si>
  <si>
    <t>Scenario 5</t>
  </si>
  <si>
    <t>3 Year NPV</t>
  </si>
  <si>
    <t>General Assumptions</t>
  </si>
  <si>
    <t>Revenues / Benefits Assumptions</t>
  </si>
  <si>
    <t>Revenue</t>
  </si>
  <si>
    <t>Benefit</t>
  </si>
  <si>
    <t>Expense Assumptions</t>
  </si>
  <si>
    <t>Expense</t>
  </si>
  <si>
    <t>Type</t>
  </si>
  <si>
    <t xml:space="preserve">     *$10 equates to 15 minutes of saved time per week for 47 weeks ($470 per year per employee)</t>
  </si>
  <si>
    <t>Monetized productivity improvement per employee*</t>
  </si>
  <si>
    <t>At Home Program uniformity savings</t>
  </si>
  <si>
    <t>Real estate savings</t>
  </si>
  <si>
    <t>Laptop savings</t>
  </si>
  <si>
    <t>LAND Rover savings over long distance connectivity</t>
  </si>
  <si>
    <t>Connectivity savings**</t>
  </si>
  <si>
    <t>Land Rover savings over long distance connectivity</t>
  </si>
  <si>
    <t>Connectivity savings</t>
  </si>
  <si>
    <t>Increased retention benefit</t>
  </si>
  <si>
    <t xml:space="preserve">     **This savings eliminates double counting the At Home Program participants who already have some sort of internet connection at home </t>
  </si>
  <si>
    <t>Laptop savings***</t>
  </si>
  <si>
    <t>Portal savings</t>
  </si>
  <si>
    <t>Internal PC configuration savings****</t>
  </si>
  <si>
    <t>Internal PC configuration savings</t>
  </si>
  <si>
    <t>Employee publications savings</t>
  </si>
  <si>
    <t>Expense Savings</t>
  </si>
  <si>
    <t>I</t>
  </si>
  <si>
    <t>C</t>
  </si>
  <si>
    <t>Scenario 6</t>
  </si>
  <si>
    <t>Scenario 7</t>
  </si>
  <si>
    <t>Scenario 8</t>
  </si>
  <si>
    <t xml:space="preserve">     ***Laptop savings come from the reduction of 100 laptops which saves $4,420 per laptop.</t>
  </si>
  <si>
    <t xml:space="preserve">     ****The savings come from not having to administer and reconfigure existing At Home Program PCs.</t>
  </si>
  <si>
    <t>EBS Revunues</t>
  </si>
  <si>
    <t>Misc. administrative and management cost</t>
  </si>
  <si>
    <t xml:space="preserve">Misc. administrative and management cost </t>
  </si>
  <si>
    <t>Int'l employees that will get connectivity in 2001</t>
  </si>
  <si>
    <t>US Employee Connectivity</t>
  </si>
  <si>
    <t>Int'l Employee Connectivity</t>
  </si>
  <si>
    <t>Co-Pay administrative cost</t>
  </si>
  <si>
    <t xml:space="preserve">Co-pay administrative cost </t>
  </si>
  <si>
    <t>Enhome infrastucture cost/maintenance</t>
  </si>
  <si>
    <t>Split tunnel equipment per employee</t>
  </si>
  <si>
    <t>Full Subsidy</t>
  </si>
  <si>
    <t>Cost Only</t>
  </si>
  <si>
    <t>Partial Subsidy</t>
  </si>
  <si>
    <t>Cost &amp; Cost savings Only</t>
  </si>
  <si>
    <t>Dom &amp; Int'l</t>
  </si>
  <si>
    <t>Split tunnel equipment cost</t>
  </si>
  <si>
    <t xml:space="preserve">Domestic web development design &amp; implementation </t>
  </si>
  <si>
    <t xml:space="preserve">Int'l web development design &amp; implementation </t>
  </si>
  <si>
    <t>Domestic web dev., design &amp; implementation cost</t>
  </si>
  <si>
    <t>Int'l web dev., design &amp; implementation cost</t>
  </si>
  <si>
    <t>Additional connectivity equipment cost</t>
  </si>
  <si>
    <t>Increased broadband maintenance cost</t>
  </si>
  <si>
    <t>Increased broadband equipment cost</t>
  </si>
  <si>
    <t>Churn rate</t>
  </si>
  <si>
    <t>US employees that will get connectivity in 2001</t>
  </si>
  <si>
    <t>US Employee Hardware</t>
  </si>
  <si>
    <t>Int'l Employee Hardware</t>
  </si>
  <si>
    <t>Total Employee Hardware</t>
  </si>
  <si>
    <t>Total Employee Connectivity</t>
  </si>
  <si>
    <t>Additional connectivity equipment cost per employee</t>
  </si>
  <si>
    <t>Every 3 Yrs.</t>
  </si>
  <si>
    <t>US employees that will get hardware in 2001</t>
  </si>
  <si>
    <t>Int'l employees that will get hardware in 2001</t>
  </si>
  <si>
    <t>3 Year XNPV</t>
  </si>
  <si>
    <t>XNPV</t>
  </si>
  <si>
    <t>Sales tax</t>
  </si>
  <si>
    <t>Cost of 56K modem connection</t>
  </si>
  <si>
    <t>DSL connectivity/ISP cost</t>
  </si>
  <si>
    <t>Cable connectivity/ISP cost</t>
  </si>
  <si>
    <t>56K connectivity/ISP cost</t>
  </si>
  <si>
    <t>% of employees with DSL connection 2001</t>
  </si>
  <si>
    <t>% of employees with cable connection 2001</t>
  </si>
  <si>
    <t>% of employees with 56K modem connection 2001</t>
  </si>
  <si>
    <t>% of employees with DSL connection 2002</t>
  </si>
  <si>
    <t>% of employees with cable connection 2002</t>
  </si>
  <si>
    <t>% of employees with 56K modem connection 2002</t>
  </si>
  <si>
    <t>% of employees with DSL connection 2003</t>
  </si>
  <si>
    <t>% of employees with cable connection 2003</t>
  </si>
  <si>
    <t>% of employees with 56K modem connection 2003</t>
  </si>
  <si>
    <t>Terminated employee buyout revenues</t>
  </si>
  <si>
    <t>Yearly termination rate</t>
  </si>
  <si>
    <t>New Employees</t>
  </si>
  <si>
    <t>BOY Employees</t>
  </si>
  <si>
    <t>EOY Employees</t>
  </si>
  <si>
    <t>Voluntary Termination Rate</t>
  </si>
  <si>
    <t>Involuntary Termination Rate</t>
  </si>
  <si>
    <t>Total Termination Rate</t>
  </si>
  <si>
    <t>One Year Tenure Terminations</t>
  </si>
  <si>
    <t>Two Year Tenure Terminations</t>
  </si>
  <si>
    <t>% of employees with ISDN connection 2001</t>
  </si>
  <si>
    <t>% of employees with ISDN connection 2002</t>
  </si>
  <si>
    <t>% of employees with ISDN connection 2003</t>
  </si>
  <si>
    <t>ISDN connectivity/ISP cost</t>
  </si>
  <si>
    <t>Add cost here</t>
  </si>
  <si>
    <t>Voluntary</t>
  </si>
  <si>
    <t>Involuntary</t>
  </si>
  <si>
    <t>Voluntary 1 yr. tenure</t>
  </si>
  <si>
    <t>of voluntary</t>
  </si>
  <si>
    <t>Voluntary 2 yr. tenure</t>
  </si>
  <si>
    <t xml:space="preserve">1 yr. tenure reimbursement cost </t>
  </si>
  <si>
    <t xml:space="preserve">2 yr. tenure reimbursement cost </t>
  </si>
  <si>
    <t>1 yr. tenure reimbursement dollars</t>
  </si>
  <si>
    <t>2 yr. tenure reimbursement dollars</t>
  </si>
  <si>
    <t>Total dollars</t>
  </si>
  <si>
    <t>Cost of DSL connection in 2001</t>
  </si>
  <si>
    <t>Cost of cable connection in 2001</t>
  </si>
  <si>
    <t>Cost of ISDN connection in 2001</t>
  </si>
  <si>
    <t>Cost of DSL connection in 2002</t>
  </si>
  <si>
    <t>Cost of cable connection in 2002</t>
  </si>
  <si>
    <t>Cost of ISDN connection in 2002</t>
  </si>
  <si>
    <t>Cost of DSL connection in 2003</t>
  </si>
  <si>
    <t>Cost of cable connection in 2003</t>
  </si>
  <si>
    <t>Cost of ISDN connection in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</si>
</sst>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7" formatCode="_(* #,##0_);_(* \(#,##0\);_(* &quot;-&quot;??_);_(@_)"/>
    <numFmt numFmtId="169" formatCode="_(&quot;$&quot;* #,##0_);_(&quot;$&quot;* \(#,##0\);_(&quot;$&quot;* &quot;-&quot;??_);_(@_)"/>
    <numFmt numFmtId="170" formatCode="0.0%"/>
    <numFmt numFmtId="178" formatCode="mm/dd/yy"/>
  </numFmts>
  <fonts count="22" x14ac:knownFonts="1">
    <font>
      <sz val="10"/>
      <name val="Arial"/>
    </font>
    <font>
      <sz val="10"/>
      <name val="Arial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color indexed="17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b/>
      <sz val="10"/>
      <color indexed="62"/>
      <name val="Times New Roman"/>
      <family val="1"/>
    </font>
    <font>
      <sz val="10"/>
      <color indexed="1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10"/>
      <color indexed="12"/>
      <name val="Times New Roman"/>
      <family val="1"/>
    </font>
    <font>
      <sz val="16"/>
      <color indexed="10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/>
    <xf numFmtId="164" fontId="6" fillId="0" borderId="0" xfId="0" applyNumberFormat="1" applyFont="1" applyFill="1" applyBorder="1"/>
    <xf numFmtId="6" fontId="6" fillId="0" borderId="0" xfId="0" applyNumberFormat="1" applyFont="1" applyFill="1" applyBorder="1"/>
    <xf numFmtId="5" fontId="3" fillId="0" borderId="0" xfId="0" applyNumberFormat="1" applyFont="1" applyFill="1" applyBorder="1"/>
    <xf numFmtId="9" fontId="3" fillId="0" borderId="0" xfId="0" applyNumberFormat="1" applyFont="1" applyFill="1" applyBorder="1"/>
    <xf numFmtId="0" fontId="5" fillId="0" borderId="0" xfId="0" applyFont="1" applyFill="1" applyBorder="1"/>
    <xf numFmtId="0" fontId="3" fillId="0" borderId="0" xfId="0" quotePrefix="1" applyFont="1" applyFill="1" applyAlignment="1">
      <alignment horizontal="left" indent="1"/>
    </xf>
    <xf numFmtId="0" fontId="7" fillId="0" borderId="0" xfId="0" quotePrefix="1" applyFont="1" applyFill="1" applyAlignment="1">
      <alignment horizontal="left"/>
    </xf>
    <xf numFmtId="0" fontId="8" fillId="0" borderId="0" xfId="0" quotePrefix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right"/>
    </xf>
    <xf numFmtId="3" fontId="13" fillId="0" borderId="0" xfId="0" applyNumberFormat="1" applyFont="1"/>
    <xf numFmtId="169" fontId="13" fillId="0" borderId="0" xfId="2" applyNumberFormat="1" applyFont="1" applyFill="1" applyBorder="1" applyAlignment="1"/>
    <xf numFmtId="170" fontId="13" fillId="0" borderId="0" xfId="3" applyNumberFormat="1" applyFont="1"/>
    <xf numFmtId="169" fontId="13" fillId="0" borderId="0" xfId="2" applyNumberFormat="1" applyFont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left"/>
    </xf>
    <xf numFmtId="170" fontId="13" fillId="0" borderId="0" xfId="3" applyNumberFormat="1" applyFont="1" applyAlignment="1">
      <alignment horizontal="right"/>
    </xf>
    <xf numFmtId="0" fontId="7" fillId="0" borderId="0" xfId="0" quotePrefix="1" applyFont="1" applyFill="1" applyBorder="1" applyAlignment="1">
      <alignment horizontal="left"/>
    </xf>
    <xf numFmtId="0" fontId="3" fillId="0" borderId="0" xfId="0" applyFont="1" applyBorder="1"/>
    <xf numFmtId="0" fontId="16" fillId="0" borderId="0" xfId="0" quotePrefix="1" applyFont="1" applyAlignment="1">
      <alignment horizontal="left"/>
    </xf>
    <xf numFmtId="0" fontId="14" fillId="0" borderId="0" xfId="0" quotePrefix="1" applyFont="1" applyAlignment="1">
      <alignment horizontal="center"/>
    </xf>
    <xf numFmtId="170" fontId="3" fillId="0" borderId="0" xfId="3" applyNumberFormat="1" applyFont="1"/>
    <xf numFmtId="169" fontId="3" fillId="0" borderId="0" xfId="2" applyNumberFormat="1" applyFont="1"/>
    <xf numFmtId="167" fontId="3" fillId="0" borderId="0" xfId="1" applyNumberFormat="1" applyFont="1"/>
    <xf numFmtId="169" fontId="3" fillId="0" borderId="0" xfId="0" applyNumberFormat="1" applyFont="1"/>
    <xf numFmtId="0" fontId="4" fillId="0" borderId="0" xfId="0" quotePrefix="1" applyFont="1" applyAlignment="1">
      <alignment horizontal="right"/>
    </xf>
    <xf numFmtId="0" fontId="4" fillId="0" borderId="0" xfId="0" quotePrefix="1" applyFont="1" applyAlignment="1">
      <alignment horizontal="left"/>
    </xf>
    <xf numFmtId="169" fontId="4" fillId="0" borderId="1" xfId="0" applyNumberFormat="1" applyFont="1" applyBorder="1"/>
    <xf numFmtId="169" fontId="13" fillId="0" borderId="0" xfId="0" applyNumberFormat="1" applyFont="1"/>
    <xf numFmtId="169" fontId="4" fillId="0" borderId="1" xfId="2" applyNumberFormat="1" applyFont="1" applyBorder="1"/>
    <xf numFmtId="169" fontId="3" fillId="0" borderId="2" xfId="2" applyNumberFormat="1" applyFont="1" applyBorder="1"/>
    <xf numFmtId="169" fontId="4" fillId="0" borderId="3" xfId="2" applyNumberFormat="1" applyFont="1" applyBorder="1"/>
    <xf numFmtId="0" fontId="14" fillId="0" borderId="0" xfId="0" quotePrefix="1" applyFont="1" applyBorder="1" applyAlignment="1">
      <alignment horizontal="center"/>
    </xf>
    <xf numFmtId="169" fontId="3" fillId="0" borderId="0" xfId="2" applyNumberFormat="1" applyFont="1" applyBorder="1"/>
    <xf numFmtId="169" fontId="13" fillId="0" borderId="4" xfId="2" applyNumberFormat="1" applyFont="1" applyBorder="1"/>
    <xf numFmtId="169" fontId="3" fillId="0" borderId="5" xfId="2" applyNumberFormat="1" applyFont="1" applyBorder="1"/>
    <xf numFmtId="0" fontId="15" fillId="0" borderId="0" xfId="0" quotePrefix="1" applyFont="1" applyAlignment="1">
      <alignment horizontal="left"/>
    </xf>
    <xf numFmtId="169" fontId="4" fillId="0" borderId="0" xfId="2" applyNumberFormat="1" applyFont="1" applyBorder="1"/>
    <xf numFmtId="169" fontId="3" fillId="0" borderId="6" xfId="2" applyNumberFormat="1" applyFont="1" applyBorder="1"/>
    <xf numFmtId="167" fontId="3" fillId="0" borderId="0" xfId="1" applyNumberFormat="1" applyFont="1" applyAlignment="1"/>
    <xf numFmtId="167" fontId="13" fillId="0" borderId="0" xfId="1" applyNumberFormat="1" applyFont="1"/>
    <xf numFmtId="167" fontId="3" fillId="0" borderId="0" xfId="0" applyNumberFormat="1" applyFont="1"/>
    <xf numFmtId="169" fontId="4" fillId="0" borderId="0" xfId="2" applyNumberFormat="1" applyFont="1"/>
    <xf numFmtId="169" fontId="6" fillId="0" borderId="0" xfId="2" applyNumberFormat="1" applyFont="1"/>
    <xf numFmtId="0" fontId="6" fillId="0" borderId="0" xfId="0" applyFont="1"/>
    <xf numFmtId="0" fontId="13" fillId="0" borderId="0" xfId="0" quotePrefix="1" applyFont="1" applyAlignment="1">
      <alignment horizontal="left"/>
    </xf>
    <xf numFmtId="14" fontId="18" fillId="0" borderId="0" xfId="0" applyNumberFormat="1" applyFont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9" fillId="0" borderId="7" xfId="0" applyFont="1" applyBorder="1" applyAlignment="1">
      <alignment horizontal="center"/>
    </xf>
    <xf numFmtId="0" fontId="20" fillId="0" borderId="0" xfId="0" quotePrefix="1" applyFont="1" applyAlignment="1">
      <alignment horizontal="left"/>
    </xf>
    <xf numFmtId="0" fontId="3" fillId="0" borderId="0" xfId="0" quotePrefix="1" applyFont="1" applyFill="1" applyAlignment="1">
      <alignment horizontal="left"/>
    </xf>
    <xf numFmtId="169" fontId="3" fillId="0" borderId="0" xfId="2" applyNumberFormat="1" applyFont="1" applyFill="1"/>
    <xf numFmtId="170" fontId="9" fillId="0" borderId="0" xfId="3" applyNumberFormat="1" applyFont="1" applyAlignment="1">
      <alignment horizontal="center"/>
    </xf>
    <xf numFmtId="170" fontId="3" fillId="0" borderId="0" xfId="3" applyNumberFormat="1" applyFont="1" applyFill="1" applyAlignment="1">
      <alignment horizontal="center"/>
    </xf>
    <xf numFmtId="170" fontId="3" fillId="0" borderId="0" xfId="3" applyNumberFormat="1" applyFont="1" applyAlignment="1">
      <alignment horizontal="center"/>
    </xf>
    <xf numFmtId="170" fontId="13" fillId="0" borderId="0" xfId="3" applyNumberFormat="1" applyFont="1" applyFill="1" applyAlignment="1">
      <alignment horizontal="center"/>
    </xf>
    <xf numFmtId="170" fontId="13" fillId="0" borderId="0" xfId="3" applyNumberFormat="1" applyFont="1" applyAlignment="1">
      <alignment horizontal="center"/>
    </xf>
    <xf numFmtId="169" fontId="3" fillId="0" borderId="0" xfId="2" applyNumberFormat="1" applyFont="1" applyFill="1" applyBorder="1" applyAlignment="1"/>
    <xf numFmtId="0" fontId="3" fillId="2" borderId="8" xfId="0" applyFont="1" applyFill="1" applyBorder="1" applyAlignment="1">
      <alignment horizontal="right"/>
    </xf>
    <xf numFmtId="169" fontId="3" fillId="2" borderId="8" xfId="2" applyNumberFormat="1" applyFont="1" applyFill="1" applyBorder="1" applyAlignment="1"/>
    <xf numFmtId="3" fontId="3" fillId="2" borderId="8" xfId="0" applyNumberFormat="1" applyFont="1" applyFill="1" applyBorder="1"/>
    <xf numFmtId="169" fontId="3" fillId="2" borderId="8" xfId="2" applyNumberFormat="1" applyFont="1" applyFill="1" applyBorder="1"/>
    <xf numFmtId="170" fontId="3" fillId="2" borderId="8" xfId="3" applyNumberFormat="1" applyFont="1" applyFill="1" applyBorder="1"/>
    <xf numFmtId="0" fontId="19" fillId="0" borderId="0" xfId="0" applyFont="1" applyAlignment="1">
      <alignment horizontal="center"/>
    </xf>
    <xf numFmtId="0" fontId="17" fillId="0" borderId="0" xfId="0" quotePrefix="1" applyFont="1" applyAlignment="1">
      <alignment horizontal="left"/>
    </xf>
    <xf numFmtId="0" fontId="4" fillId="0" borderId="7" xfId="0" applyFont="1" applyBorder="1" applyAlignment="1">
      <alignment horizontal="center"/>
    </xf>
    <xf numFmtId="169" fontId="3" fillId="0" borderId="9" xfId="2" applyNumberFormat="1" applyFont="1" applyBorder="1"/>
    <xf numFmtId="169" fontId="3" fillId="0" borderId="9" xfId="0" applyNumberFormat="1" applyFont="1" applyBorder="1"/>
    <xf numFmtId="44" fontId="13" fillId="0" borderId="0" xfId="2" applyNumberFormat="1" applyFont="1" applyFill="1" applyBorder="1" applyAlignment="1"/>
    <xf numFmtId="5" fontId="3" fillId="0" borderId="0" xfId="0" applyNumberFormat="1" applyFont="1"/>
    <xf numFmtId="170" fontId="3" fillId="0" borderId="0" xfId="3" applyNumberFormat="1" applyFont="1" applyBorder="1"/>
    <xf numFmtId="170" fontId="3" fillId="0" borderId="0" xfId="0" applyNumberFormat="1" applyFont="1" applyBorder="1"/>
    <xf numFmtId="44" fontId="3" fillId="0" borderId="0" xfId="2" applyFont="1" applyBorder="1"/>
    <xf numFmtId="0" fontId="4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/>
    </xf>
    <xf numFmtId="0" fontId="3" fillId="2" borderId="8" xfId="0" applyFont="1" applyFill="1" applyBorder="1"/>
    <xf numFmtId="0" fontId="9" fillId="0" borderId="0" xfId="0" applyFont="1" applyFill="1" applyAlignment="1">
      <alignment horizontal="center"/>
    </xf>
    <xf numFmtId="170" fontId="3" fillId="2" borderId="10" xfId="3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right"/>
    </xf>
    <xf numFmtId="0" fontId="9" fillId="2" borderId="11" xfId="0" quotePrefix="1" applyFont="1" applyFill="1" applyBorder="1" applyAlignment="1">
      <alignment horizontal="center"/>
    </xf>
    <xf numFmtId="169" fontId="3" fillId="2" borderId="11" xfId="2" applyNumberFormat="1" applyFont="1" applyFill="1" applyBorder="1" applyAlignment="1"/>
    <xf numFmtId="167" fontId="13" fillId="0" borderId="0" xfId="1" applyNumberFormat="1" applyFont="1" applyFill="1" applyBorder="1" applyAlignment="1"/>
    <xf numFmtId="167" fontId="3" fillId="2" borderId="8" xfId="1" applyNumberFormat="1" applyFont="1" applyFill="1" applyBorder="1" applyAlignment="1"/>
    <xf numFmtId="170" fontId="3" fillId="0" borderId="0" xfId="3" applyNumberFormat="1" applyFont="1" applyBorder="1" applyAlignment="1">
      <alignment horizontal="center"/>
    </xf>
    <xf numFmtId="3" fontId="3" fillId="0" borderId="0" xfId="0" applyNumberFormat="1" applyFont="1"/>
    <xf numFmtId="7" fontId="4" fillId="0" borderId="0" xfId="0" applyNumberFormat="1" applyFont="1"/>
    <xf numFmtId="0" fontId="3" fillId="0" borderId="0" xfId="0" quotePrefix="1" applyFont="1" applyFill="1" applyAlignment="1"/>
    <xf numFmtId="0" fontId="4" fillId="0" borderId="12" xfId="0" applyFont="1" applyBorder="1"/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3" fillId="0" borderId="16" xfId="0" quotePrefix="1" applyFont="1" applyBorder="1" applyAlignment="1">
      <alignment horizontal="left"/>
    </xf>
    <xf numFmtId="0" fontId="3" fillId="0" borderId="17" xfId="0" quotePrefix="1" applyFont="1" applyBorder="1" applyAlignment="1">
      <alignment horizontal="left"/>
    </xf>
    <xf numFmtId="0" fontId="4" fillId="0" borderId="12" xfId="0" quotePrefix="1" applyFont="1" applyBorder="1" applyAlignment="1">
      <alignment horizontal="left"/>
    </xf>
    <xf numFmtId="0" fontId="4" fillId="0" borderId="13" xfId="0" quotePrefix="1" applyFont="1" applyBorder="1" applyAlignment="1">
      <alignment horizontal="left"/>
    </xf>
    <xf numFmtId="7" fontId="3" fillId="0" borderId="0" xfId="0" applyNumberFormat="1" applyFont="1"/>
    <xf numFmtId="169" fontId="13" fillId="0" borderId="0" xfId="2" applyNumberFormat="1" applyFont="1" applyFill="1"/>
    <xf numFmtId="0" fontId="3" fillId="0" borderId="0" xfId="0" applyFont="1" applyFill="1" applyAlignment="1"/>
    <xf numFmtId="167" fontId="14" fillId="0" borderId="0" xfId="0" applyNumberFormat="1" applyFont="1" applyAlignment="1">
      <alignment horizontal="center"/>
    </xf>
    <xf numFmtId="167" fontId="4" fillId="0" borderId="0" xfId="1" applyNumberFormat="1" applyFont="1" applyAlignment="1"/>
    <xf numFmtId="178" fontId="3" fillId="0" borderId="0" xfId="2" applyNumberFormat="1" applyFont="1"/>
    <xf numFmtId="169" fontId="4" fillId="0" borderId="7" xfId="2" applyNumberFormat="1" applyFont="1" applyBorder="1" applyAlignment="1">
      <alignment horizontal="center"/>
    </xf>
    <xf numFmtId="167" fontId="3" fillId="0" borderId="0" xfId="1" applyNumberFormat="1" applyFont="1" applyFill="1" applyBorder="1" applyAlignment="1"/>
    <xf numFmtId="10" fontId="3" fillId="2" borderId="8" xfId="3" applyNumberFormat="1" applyFont="1" applyFill="1" applyBorder="1"/>
    <xf numFmtId="10" fontId="13" fillId="0" borderId="0" xfId="3" applyNumberFormat="1" applyFont="1"/>
    <xf numFmtId="170" fontId="3" fillId="2" borderId="8" xfId="3" applyNumberFormat="1" applyFont="1" applyFill="1" applyBorder="1" applyAlignment="1"/>
    <xf numFmtId="170" fontId="13" fillId="0" borderId="0" xfId="3" applyNumberFormat="1" applyFont="1" applyFill="1" applyBorder="1" applyAlignment="1"/>
    <xf numFmtId="0" fontId="9" fillId="0" borderId="0" xfId="0" quotePrefix="1" applyFont="1" applyFill="1" applyAlignment="1">
      <alignment horizontal="left" indent="1"/>
    </xf>
    <xf numFmtId="0" fontId="21" fillId="0" borderId="0" xfId="0" applyFont="1"/>
    <xf numFmtId="170" fontId="4" fillId="0" borderId="0" xfId="3" applyNumberFormat="1" applyFont="1" applyAlignment="1">
      <alignment horizontal="center"/>
    </xf>
    <xf numFmtId="170" fontId="4" fillId="0" borderId="1" xfId="3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67" fontId="3" fillId="0" borderId="1" xfId="1" applyNumberFormat="1" applyFont="1" applyBorder="1"/>
    <xf numFmtId="170" fontId="3" fillId="0" borderId="1" xfId="3" applyNumberFormat="1" applyFont="1" applyBorder="1"/>
    <xf numFmtId="167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69" fontId="3" fillId="0" borderId="1" xfId="0" applyNumberFormat="1" applyFont="1" applyBorder="1"/>
    <xf numFmtId="0" fontId="4" fillId="0" borderId="0" xfId="0" applyFont="1" applyFill="1" applyAlignment="1">
      <alignment horizontal="center"/>
    </xf>
    <xf numFmtId="169" fontId="6" fillId="0" borderId="0" xfId="2" applyNumberFormat="1" applyFont="1" applyFill="1"/>
    <xf numFmtId="167" fontId="3" fillId="0" borderId="0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7"/>
  <sheetViews>
    <sheetView tabSelected="1" workbookViewId="0">
      <pane xSplit="4" ySplit="7" topLeftCell="E8" activePane="bottomRight" state="frozen"/>
      <selection activeCell="E11" sqref="E11"/>
      <selection pane="topRight" activeCell="E11" sqref="E11"/>
      <selection pane="bottomLeft" activeCell="E11" sqref="E11"/>
      <selection pane="bottomRight" activeCell="E8" sqref="E8"/>
    </sheetView>
  </sheetViews>
  <sheetFormatPr defaultColWidth="9.109375" defaultRowHeight="13.2" x14ac:dyDescent="0.25"/>
  <cols>
    <col min="1" max="1" width="9.109375" style="2"/>
    <col min="2" max="2" width="13.5546875" style="2" customWidth="1"/>
    <col min="3" max="4" width="10.44140625" style="2" customWidth="1"/>
    <col min="5" max="5" width="3.6640625" style="23" customWidth="1"/>
    <col min="6" max="6" width="13.88671875" style="2" bestFit="1" customWidth="1"/>
    <col min="7" max="7" width="11.6640625" style="2" customWidth="1"/>
    <col min="8" max="8" width="10.6640625" style="2" customWidth="1"/>
    <col min="9" max="9" width="2.6640625" style="2" customWidth="1"/>
    <col min="10" max="10" width="15.109375" style="2" bestFit="1" customWidth="1"/>
    <col min="11" max="11" width="2.6640625" style="2" customWidth="1"/>
    <col min="12" max="20" width="12.6640625" style="2" customWidth="1"/>
    <col min="21" max="16384" width="9.109375" style="2"/>
  </cols>
  <sheetData>
    <row r="1" spans="1:19" ht="21" x14ac:dyDescent="0.4">
      <c r="A1" s="18" t="s">
        <v>2</v>
      </c>
      <c r="J1" s="73"/>
      <c r="K1" s="73"/>
    </row>
    <row r="3" spans="1:19" ht="13.8" x14ac:dyDescent="0.3">
      <c r="A3" s="1" t="s">
        <v>0</v>
      </c>
      <c r="J3" s="68" t="s">
        <v>79</v>
      </c>
      <c r="K3" s="68"/>
      <c r="M3" s="93"/>
    </row>
    <row r="4" spans="1:19" ht="12.75" customHeight="1" thickBot="1" x14ac:dyDescent="0.35">
      <c r="A4" s="1"/>
      <c r="F4" s="120"/>
      <c r="I4" s="24"/>
      <c r="J4" s="69" t="s">
        <v>80</v>
      </c>
      <c r="K4" s="69"/>
      <c r="M4" s="93"/>
    </row>
    <row r="5" spans="1:19" ht="13.8" thickBot="1" x14ac:dyDescent="0.3">
      <c r="B5" s="71" t="s">
        <v>1</v>
      </c>
      <c r="C5" s="72">
        <v>3</v>
      </c>
      <c r="E5" s="20"/>
      <c r="F5" s="20"/>
      <c r="G5" s="20"/>
      <c r="H5" s="20"/>
      <c r="I5" s="24"/>
      <c r="J5" s="36" t="s">
        <v>81</v>
      </c>
      <c r="K5" s="36"/>
      <c r="L5" s="112" t="s">
        <v>137</v>
      </c>
      <c r="M5" s="113"/>
      <c r="N5" s="118" t="s">
        <v>139</v>
      </c>
      <c r="O5" s="119"/>
      <c r="P5" s="118"/>
      <c r="Q5" s="119"/>
      <c r="R5" s="118"/>
      <c r="S5" s="119"/>
    </row>
    <row r="6" spans="1:19" x14ac:dyDescent="0.25">
      <c r="B6" s="16"/>
      <c r="D6" s="20"/>
      <c r="E6" s="20"/>
      <c r="F6" s="20"/>
      <c r="G6" s="20"/>
      <c r="H6" s="20"/>
      <c r="I6" s="24"/>
      <c r="L6" s="116" t="s">
        <v>140</v>
      </c>
      <c r="M6" s="117" t="s">
        <v>140</v>
      </c>
      <c r="N6" s="116" t="s">
        <v>140</v>
      </c>
      <c r="O6" s="117" t="s">
        <v>140</v>
      </c>
      <c r="P6" s="116"/>
      <c r="Q6" s="117"/>
      <c r="R6" s="116"/>
      <c r="S6" s="117"/>
    </row>
    <row r="7" spans="1:19" ht="12.75" customHeight="1" thickBot="1" x14ac:dyDescent="0.35">
      <c r="B7" s="17"/>
      <c r="L7" s="114" t="s">
        <v>136</v>
      </c>
      <c r="M7" s="115" t="s">
        <v>138</v>
      </c>
      <c r="N7" s="114" t="s">
        <v>136</v>
      </c>
      <c r="O7" s="115" t="s">
        <v>138</v>
      </c>
      <c r="P7" s="114"/>
      <c r="Q7" s="115"/>
      <c r="R7" s="114"/>
      <c r="S7" s="115"/>
    </row>
    <row r="8" spans="1:19" ht="14.4" thickBot="1" x14ac:dyDescent="0.35">
      <c r="A8" s="98" t="s">
        <v>96</v>
      </c>
      <c r="F8" s="21" t="s">
        <v>101</v>
      </c>
      <c r="G8" s="21" t="s">
        <v>5</v>
      </c>
      <c r="H8" s="22" t="s">
        <v>84</v>
      </c>
      <c r="J8" s="104" t="s">
        <v>87</v>
      </c>
      <c r="K8" s="22"/>
      <c r="L8" s="22" t="s">
        <v>19</v>
      </c>
      <c r="M8" s="22" t="s">
        <v>20</v>
      </c>
      <c r="N8" s="22" t="s">
        <v>21</v>
      </c>
      <c r="O8" s="22" t="s">
        <v>22</v>
      </c>
      <c r="P8" s="22" t="s">
        <v>93</v>
      </c>
      <c r="Q8" s="22" t="s">
        <v>121</v>
      </c>
      <c r="R8" s="22" t="s">
        <v>122</v>
      </c>
      <c r="S8" s="22" t="s">
        <v>123</v>
      </c>
    </row>
    <row r="9" spans="1:19" x14ac:dyDescent="0.25">
      <c r="A9" s="15" t="s">
        <v>126</v>
      </c>
      <c r="C9" s="7"/>
      <c r="E9" s="23" t="s">
        <v>86</v>
      </c>
      <c r="F9" s="23" t="s">
        <v>97</v>
      </c>
      <c r="G9" s="7" t="s">
        <v>6</v>
      </c>
      <c r="H9" s="80">
        <v>0</v>
      </c>
      <c r="I9" s="5"/>
      <c r="J9" s="105">
        <f>IF($C$5=1,L9,IF($C$5=2,M9,IF($C$5=3,N9,IF($C$5=4,O9,0))))</f>
        <v>0</v>
      </c>
      <c r="K9" s="26"/>
      <c r="L9" s="26">
        <v>0</v>
      </c>
      <c r="M9" s="26">
        <v>0</v>
      </c>
      <c r="N9" s="26">
        <v>0</v>
      </c>
      <c r="O9" s="26">
        <v>0</v>
      </c>
    </row>
    <row r="10" spans="1:19" x14ac:dyDescent="0.25">
      <c r="A10" s="15" t="s">
        <v>8</v>
      </c>
      <c r="F10" s="23" t="s">
        <v>97</v>
      </c>
      <c r="G10" s="100"/>
      <c r="H10" s="76"/>
      <c r="J10" s="82" t="str">
        <f t="shared" ref="J10:J20" si="0">IF($C$5=1,L10,IF($C$5=2,M10,IF($C$5=3,N10,IF($C$5=4,O10,0))))</f>
        <v>No</v>
      </c>
      <c r="K10" s="30"/>
      <c r="L10" s="30" t="s">
        <v>10</v>
      </c>
      <c r="M10" s="30" t="s">
        <v>10</v>
      </c>
      <c r="N10" s="30" t="s">
        <v>10</v>
      </c>
      <c r="O10" s="30" t="s">
        <v>10</v>
      </c>
    </row>
    <row r="11" spans="1:19" x14ac:dyDescent="0.25">
      <c r="A11" s="15" t="s">
        <v>11</v>
      </c>
      <c r="B11" s="3"/>
      <c r="C11" s="4"/>
      <c r="D11" s="5"/>
      <c r="E11" s="7"/>
      <c r="F11" s="23" t="s">
        <v>97</v>
      </c>
      <c r="G11" s="7" t="s">
        <v>6</v>
      </c>
      <c r="H11" s="79"/>
      <c r="I11" s="5"/>
      <c r="J11" s="83">
        <f t="shared" si="0"/>
        <v>0</v>
      </c>
      <c r="K11" s="81"/>
      <c r="L11" s="81">
        <f>IF(L10="No",0,60)</f>
        <v>0</v>
      </c>
      <c r="M11" s="81">
        <f>IF(M10="No",0,60)</f>
        <v>0</v>
      </c>
      <c r="N11" s="81">
        <f>IF(N10="No",0,240)</f>
        <v>0</v>
      </c>
      <c r="O11" s="81">
        <f>IF(O10="No",0,60)</f>
        <v>0</v>
      </c>
    </row>
    <row r="12" spans="1:19" x14ac:dyDescent="0.25">
      <c r="A12" s="15" t="s">
        <v>13</v>
      </c>
      <c r="F12" s="23" t="s">
        <v>97</v>
      </c>
      <c r="G12" s="7"/>
      <c r="H12" s="77"/>
      <c r="J12" s="82" t="str">
        <f t="shared" si="0"/>
        <v>No</v>
      </c>
      <c r="K12" s="30"/>
      <c r="L12" s="30" t="s">
        <v>10</v>
      </c>
      <c r="M12" s="30" t="s">
        <v>10</v>
      </c>
      <c r="N12" s="30" t="s">
        <v>10</v>
      </c>
      <c r="O12" s="30" t="s">
        <v>10</v>
      </c>
    </row>
    <row r="13" spans="1:19" x14ac:dyDescent="0.25">
      <c r="A13" s="15" t="s">
        <v>12</v>
      </c>
      <c r="E13" s="23" t="s">
        <v>86</v>
      </c>
      <c r="F13" s="23" t="s">
        <v>97</v>
      </c>
      <c r="G13" s="7" t="s">
        <v>6</v>
      </c>
      <c r="H13" s="79">
        <v>0</v>
      </c>
      <c r="J13" s="85">
        <f t="shared" si="0"/>
        <v>0</v>
      </c>
      <c r="K13" s="28"/>
      <c r="L13" s="28">
        <v>0</v>
      </c>
      <c r="M13" s="28">
        <v>0</v>
      </c>
      <c r="N13" s="28">
        <v>0</v>
      </c>
      <c r="O13" s="28">
        <v>0</v>
      </c>
    </row>
    <row r="14" spans="1:19" x14ac:dyDescent="0.25">
      <c r="A14" s="15" t="s">
        <v>15</v>
      </c>
      <c r="B14" s="13"/>
      <c r="C14" s="9"/>
      <c r="E14" s="23" t="s">
        <v>86</v>
      </c>
      <c r="F14" s="23" t="s">
        <v>97</v>
      </c>
      <c r="G14" s="7" t="s">
        <v>6</v>
      </c>
      <c r="H14" s="80">
        <v>0</v>
      </c>
      <c r="J14" s="85">
        <f t="shared" si="0"/>
        <v>0</v>
      </c>
      <c r="K14" s="28"/>
      <c r="L14" s="28">
        <v>0</v>
      </c>
      <c r="M14" s="28">
        <v>0</v>
      </c>
      <c r="N14" s="28">
        <v>0</v>
      </c>
      <c r="O14" s="28">
        <v>0</v>
      </c>
    </row>
    <row r="15" spans="1:19" ht="12.75" customHeight="1" x14ac:dyDescent="0.25">
      <c r="A15" s="15" t="s">
        <v>117</v>
      </c>
      <c r="B15" s="11"/>
      <c r="C15" s="9"/>
      <c r="E15" s="23" t="s">
        <v>86</v>
      </c>
      <c r="F15" s="23" t="s">
        <v>98</v>
      </c>
      <c r="G15" s="7" t="s">
        <v>6</v>
      </c>
      <c r="H15" s="79">
        <v>0</v>
      </c>
      <c r="J15" s="85">
        <f t="shared" si="0"/>
        <v>0</v>
      </c>
      <c r="K15" s="28"/>
      <c r="L15" s="28">
        <v>0</v>
      </c>
      <c r="M15" s="28">
        <v>0</v>
      </c>
      <c r="N15" s="28">
        <v>0</v>
      </c>
      <c r="O15" s="28">
        <v>0</v>
      </c>
    </row>
    <row r="16" spans="1:19" x14ac:dyDescent="0.25">
      <c r="A16" s="15" t="s">
        <v>17</v>
      </c>
      <c r="C16" s="7"/>
      <c r="E16" s="23" t="s">
        <v>86</v>
      </c>
      <c r="F16" s="23" t="s">
        <v>98</v>
      </c>
      <c r="G16" s="7" t="s">
        <v>6</v>
      </c>
      <c r="H16" s="80">
        <v>0</v>
      </c>
      <c r="I16" s="5"/>
      <c r="J16" s="83">
        <f t="shared" si="0"/>
        <v>0</v>
      </c>
      <c r="K16" s="26"/>
      <c r="L16" s="26">
        <v>0</v>
      </c>
      <c r="M16" s="26">
        <v>0</v>
      </c>
      <c r="N16" s="26">
        <v>0</v>
      </c>
      <c r="O16" s="26">
        <v>0</v>
      </c>
    </row>
    <row r="17" spans="1:15" x14ac:dyDescent="0.25">
      <c r="A17" s="15" t="s">
        <v>103</v>
      </c>
      <c r="C17" s="7"/>
      <c r="E17" s="23" t="s">
        <v>119</v>
      </c>
      <c r="F17" s="23" t="s">
        <v>98</v>
      </c>
      <c r="G17" s="7" t="s">
        <v>6</v>
      </c>
      <c r="H17" s="78"/>
      <c r="I17" s="5"/>
      <c r="J17" s="83">
        <f t="shared" si="0"/>
        <v>0</v>
      </c>
      <c r="K17" s="26"/>
      <c r="L17" s="26">
        <v>0</v>
      </c>
      <c r="M17" s="26">
        <v>0</v>
      </c>
      <c r="N17" s="26">
        <v>0</v>
      </c>
      <c r="O17" s="26">
        <v>0</v>
      </c>
    </row>
    <row r="18" spans="1:15" x14ac:dyDescent="0.25">
      <c r="A18" s="15" t="s">
        <v>111</v>
      </c>
      <c r="C18" s="7"/>
      <c r="E18" s="23" t="s">
        <v>119</v>
      </c>
      <c r="F18" s="23" t="s">
        <v>98</v>
      </c>
      <c r="G18" s="7" t="s">
        <v>6</v>
      </c>
      <c r="H18" s="80">
        <v>0</v>
      </c>
      <c r="I18" s="5"/>
      <c r="J18" s="83">
        <f t="shared" si="0"/>
        <v>0</v>
      </c>
      <c r="K18" s="26"/>
      <c r="L18" s="26">
        <v>0</v>
      </c>
      <c r="M18" s="26">
        <v>0</v>
      </c>
      <c r="N18" s="26">
        <v>0</v>
      </c>
      <c r="O18" s="26">
        <v>0</v>
      </c>
    </row>
    <row r="19" spans="1:15" s="5" customFormat="1" x14ac:dyDescent="0.25">
      <c r="A19" s="6" t="s">
        <v>105</v>
      </c>
      <c r="C19" s="7"/>
      <c r="E19" s="7" t="s">
        <v>119</v>
      </c>
      <c r="F19" s="7" t="s">
        <v>98</v>
      </c>
      <c r="G19" s="7" t="s">
        <v>6</v>
      </c>
      <c r="H19" s="80">
        <v>0</v>
      </c>
      <c r="J19" s="83">
        <f t="shared" si="0"/>
        <v>0</v>
      </c>
      <c r="K19" s="26"/>
      <c r="L19" s="26">
        <v>0</v>
      </c>
      <c r="M19" s="26">
        <v>0</v>
      </c>
      <c r="N19" s="26">
        <v>0</v>
      </c>
      <c r="O19" s="26">
        <v>0</v>
      </c>
    </row>
    <row r="20" spans="1:15" s="5" customFormat="1" x14ac:dyDescent="0.25">
      <c r="A20" s="15" t="s">
        <v>114</v>
      </c>
      <c r="C20" s="7"/>
      <c r="E20" s="7" t="s">
        <v>119</v>
      </c>
      <c r="F20" s="7" t="s">
        <v>98</v>
      </c>
      <c r="G20" s="7" t="s">
        <v>6</v>
      </c>
      <c r="H20" s="80">
        <v>0</v>
      </c>
      <c r="J20" s="83">
        <f t="shared" si="0"/>
        <v>0</v>
      </c>
      <c r="K20" s="26"/>
      <c r="L20" s="26">
        <v>0</v>
      </c>
      <c r="M20" s="26">
        <v>0</v>
      </c>
      <c r="N20" s="26">
        <v>0</v>
      </c>
      <c r="O20" s="26">
        <v>0</v>
      </c>
    </row>
    <row r="21" spans="1:15" ht="6" customHeight="1" x14ac:dyDescent="0.25">
      <c r="A21" s="15"/>
      <c r="C21" s="7"/>
      <c r="F21" s="23"/>
      <c r="G21" s="7"/>
      <c r="H21" s="80"/>
      <c r="I21" s="5"/>
      <c r="J21" s="83"/>
      <c r="K21" s="26"/>
      <c r="L21" s="26"/>
      <c r="M21" s="26"/>
      <c r="N21" s="26"/>
      <c r="O21" s="26"/>
    </row>
    <row r="22" spans="1:15" ht="13.8" x14ac:dyDescent="0.3">
      <c r="A22" s="98" t="s">
        <v>99</v>
      </c>
      <c r="F22" s="23"/>
      <c r="G22" s="5"/>
      <c r="J22" s="99"/>
    </row>
    <row r="23" spans="1:15" x14ac:dyDescent="0.25">
      <c r="A23" s="15" t="s">
        <v>77</v>
      </c>
      <c r="B23" s="3"/>
      <c r="C23" s="4"/>
      <c r="D23" s="5"/>
      <c r="E23" s="7"/>
      <c r="F23" s="7" t="s">
        <v>100</v>
      </c>
      <c r="G23" s="7"/>
      <c r="H23" s="77"/>
      <c r="I23" s="5"/>
      <c r="J23" s="82" t="str">
        <f t="shared" ref="J23:J68" si="1">IF($C$5=1,L23,IF($C$5=2,M23,IF($C$5=3,N23,IF($C$5=4,O23,0))))</f>
        <v>Yes</v>
      </c>
      <c r="K23" s="30"/>
      <c r="L23" s="30" t="s">
        <v>18</v>
      </c>
      <c r="M23" s="30" t="s">
        <v>18</v>
      </c>
      <c r="N23" s="30" t="s">
        <v>18</v>
      </c>
      <c r="O23" s="30" t="s">
        <v>18</v>
      </c>
    </row>
    <row r="24" spans="1:15" x14ac:dyDescent="0.25">
      <c r="A24" s="15" t="s">
        <v>75</v>
      </c>
      <c r="C24" s="7"/>
      <c r="E24" s="23" t="s">
        <v>120</v>
      </c>
      <c r="F24" s="7" t="s">
        <v>100</v>
      </c>
      <c r="G24" s="7" t="s">
        <v>6</v>
      </c>
      <c r="H24" s="79">
        <v>0</v>
      </c>
      <c r="I24" s="5"/>
      <c r="J24" s="83">
        <f t="shared" si="1"/>
        <v>420</v>
      </c>
      <c r="K24" s="26"/>
      <c r="L24" s="26">
        <v>420</v>
      </c>
      <c r="M24" s="26">
        <v>210</v>
      </c>
      <c r="N24" s="26">
        <v>420</v>
      </c>
      <c r="O24" s="26">
        <v>210</v>
      </c>
    </row>
    <row r="25" spans="1:15" x14ac:dyDescent="0.25">
      <c r="A25" s="6" t="s">
        <v>78</v>
      </c>
      <c r="B25" s="3"/>
      <c r="C25" s="4"/>
      <c r="D25" s="5"/>
      <c r="E25" s="7"/>
      <c r="F25" s="7" t="s">
        <v>100</v>
      </c>
      <c r="G25" s="7"/>
      <c r="H25" s="77"/>
      <c r="I25" s="5"/>
      <c r="J25" s="82" t="str">
        <f t="shared" si="1"/>
        <v>No</v>
      </c>
      <c r="K25" s="29"/>
      <c r="L25" s="29" t="s">
        <v>10</v>
      </c>
      <c r="M25" s="29" t="str">
        <f>IF(M23="Yes","No","Yes")</f>
        <v>No</v>
      </c>
      <c r="N25" s="29" t="str">
        <f>IF(N23="Yes","No","Yes")</f>
        <v>No</v>
      </c>
      <c r="O25" s="29" t="str">
        <f>IF(O23="Yes","No","Yes")</f>
        <v>No</v>
      </c>
    </row>
    <row r="26" spans="1:15" x14ac:dyDescent="0.25">
      <c r="A26" s="15" t="s">
        <v>32</v>
      </c>
      <c r="C26" s="7"/>
      <c r="E26" s="23" t="s">
        <v>120</v>
      </c>
      <c r="F26" s="7" t="s">
        <v>100</v>
      </c>
      <c r="G26" s="7" t="s">
        <v>76</v>
      </c>
      <c r="H26" s="77"/>
      <c r="I26" s="5"/>
      <c r="J26" s="83">
        <f t="shared" si="1"/>
        <v>0</v>
      </c>
      <c r="K26" s="26"/>
      <c r="L26" s="26">
        <f>IF(L25="Yes",1260,0)</f>
        <v>0</v>
      </c>
      <c r="M26" s="26">
        <f>IF(M25="Yes",1260,0)</f>
        <v>0</v>
      </c>
      <c r="N26" s="26">
        <f>IF(N25="Yes",1260,0)</f>
        <v>0</v>
      </c>
      <c r="O26" s="26">
        <f>IF(O25="Yes",1260,0)</f>
        <v>0</v>
      </c>
    </row>
    <row r="27" spans="1:15" x14ac:dyDescent="0.25">
      <c r="A27" s="15" t="s">
        <v>166</v>
      </c>
      <c r="C27" s="7"/>
      <c r="F27" s="7"/>
      <c r="G27" s="7"/>
      <c r="H27" s="77"/>
      <c r="I27" s="5"/>
      <c r="J27" s="130">
        <f t="shared" si="1"/>
        <v>0.1</v>
      </c>
      <c r="K27" s="26"/>
      <c r="L27" s="131">
        <v>0.1</v>
      </c>
      <c r="M27" s="131">
        <v>0.1</v>
      </c>
      <c r="N27" s="131">
        <v>0.1</v>
      </c>
      <c r="O27" s="131">
        <v>0.1</v>
      </c>
    </row>
    <row r="28" spans="1:15" x14ac:dyDescent="0.25">
      <c r="A28" s="15" t="s">
        <v>167</v>
      </c>
      <c r="C28" s="7"/>
      <c r="F28" s="7"/>
      <c r="G28" s="7"/>
      <c r="H28" s="77"/>
      <c r="I28" s="5"/>
      <c r="J28" s="130">
        <f t="shared" si="1"/>
        <v>0.3</v>
      </c>
      <c r="K28" s="26"/>
      <c r="L28" s="131">
        <v>0.3</v>
      </c>
      <c r="M28" s="131">
        <v>0.3</v>
      </c>
      <c r="N28" s="131">
        <v>0.3</v>
      </c>
      <c r="O28" s="131">
        <v>0.3</v>
      </c>
    </row>
    <row r="29" spans="1:15" x14ac:dyDescent="0.25">
      <c r="A29" s="15" t="s">
        <v>185</v>
      </c>
      <c r="C29" s="7"/>
      <c r="F29" s="7"/>
      <c r="G29" s="7"/>
      <c r="H29" s="77"/>
      <c r="I29" s="5"/>
      <c r="J29" s="130">
        <f t="shared" si="1"/>
        <v>0.3</v>
      </c>
      <c r="K29" s="26"/>
      <c r="L29" s="131">
        <v>0.3</v>
      </c>
      <c r="M29" s="131">
        <v>0.3</v>
      </c>
      <c r="N29" s="131">
        <v>0.3</v>
      </c>
      <c r="O29" s="131">
        <v>0.3</v>
      </c>
    </row>
    <row r="30" spans="1:15" x14ac:dyDescent="0.25">
      <c r="A30" s="132" t="s">
        <v>168</v>
      </c>
      <c r="C30" s="7"/>
      <c r="F30" s="7"/>
      <c r="G30" s="7"/>
      <c r="H30" s="77"/>
      <c r="I30" s="5"/>
      <c r="J30" s="130">
        <f t="shared" si="1"/>
        <v>0.3</v>
      </c>
      <c r="K30" s="26"/>
      <c r="L30" s="131">
        <v>0.3</v>
      </c>
      <c r="M30" s="131">
        <v>0.3</v>
      </c>
      <c r="N30" s="131">
        <v>0.3</v>
      </c>
      <c r="O30" s="131">
        <v>0.3</v>
      </c>
    </row>
    <row r="31" spans="1:15" x14ac:dyDescent="0.25">
      <c r="A31" s="15" t="s">
        <v>169</v>
      </c>
      <c r="C31" s="7"/>
      <c r="F31" s="7"/>
      <c r="G31" s="7"/>
      <c r="H31" s="77"/>
      <c r="I31" s="5"/>
      <c r="J31" s="130">
        <f t="shared" si="1"/>
        <v>0.2</v>
      </c>
      <c r="K31" s="26"/>
      <c r="L31" s="131">
        <v>0.2</v>
      </c>
      <c r="M31" s="131">
        <v>0.2</v>
      </c>
      <c r="N31" s="131">
        <v>0.2</v>
      </c>
      <c r="O31" s="131">
        <v>0.2</v>
      </c>
    </row>
    <row r="32" spans="1:15" x14ac:dyDescent="0.25">
      <c r="A32" s="15" t="s">
        <v>170</v>
      </c>
      <c r="C32" s="7"/>
      <c r="F32" s="7"/>
      <c r="G32" s="7"/>
      <c r="H32" s="77"/>
      <c r="I32" s="5"/>
      <c r="J32" s="130">
        <f t="shared" si="1"/>
        <v>0.26666666666666666</v>
      </c>
      <c r="K32" s="26"/>
      <c r="L32" s="131">
        <v>0.26666666666666666</v>
      </c>
      <c r="M32" s="131">
        <v>0.26666666666666666</v>
      </c>
      <c r="N32" s="131">
        <v>0.26666666666666666</v>
      </c>
      <c r="O32" s="131">
        <v>0.26666666666666666</v>
      </c>
    </row>
    <row r="33" spans="1:15" x14ac:dyDescent="0.25">
      <c r="A33" s="15" t="s">
        <v>186</v>
      </c>
      <c r="C33" s="7"/>
      <c r="F33" s="7"/>
      <c r="G33" s="7"/>
      <c r="H33" s="77"/>
      <c r="I33" s="5"/>
      <c r="J33" s="130">
        <f t="shared" si="1"/>
        <v>0.26666666666666666</v>
      </c>
      <c r="K33" s="26"/>
      <c r="L33" s="131">
        <v>0.26666666666666666</v>
      </c>
      <c r="M33" s="131">
        <v>0.26666666666666666</v>
      </c>
      <c r="N33" s="131">
        <v>0.26666666666666666</v>
      </c>
      <c r="O33" s="131">
        <v>0.26666666666666666</v>
      </c>
    </row>
    <row r="34" spans="1:15" x14ac:dyDescent="0.25">
      <c r="A34" s="132" t="s">
        <v>171</v>
      </c>
      <c r="C34" s="7"/>
      <c r="F34" s="7"/>
      <c r="G34" s="7"/>
      <c r="H34" s="77"/>
      <c r="I34" s="5"/>
      <c r="J34" s="130">
        <f t="shared" si="1"/>
        <v>0.26666666666666666</v>
      </c>
      <c r="K34" s="26"/>
      <c r="L34" s="131">
        <v>0.26666666666666666</v>
      </c>
      <c r="M34" s="131">
        <v>0.26666666666666666</v>
      </c>
      <c r="N34" s="131">
        <v>0.26666666666666666</v>
      </c>
      <c r="O34" s="131">
        <v>0.26666666666666666</v>
      </c>
    </row>
    <row r="35" spans="1:15" x14ac:dyDescent="0.25">
      <c r="A35" s="15" t="s">
        <v>172</v>
      </c>
      <c r="C35" s="7"/>
      <c r="F35" s="7"/>
      <c r="G35" s="7"/>
      <c r="H35" s="77"/>
      <c r="I35" s="5"/>
      <c r="J35" s="130">
        <f t="shared" si="1"/>
        <v>0.3</v>
      </c>
      <c r="K35" s="26"/>
      <c r="L35" s="131">
        <v>0.3</v>
      </c>
      <c r="M35" s="131">
        <v>0.3</v>
      </c>
      <c r="N35" s="131">
        <v>0.3</v>
      </c>
      <c r="O35" s="131">
        <v>0.3</v>
      </c>
    </row>
    <row r="36" spans="1:15" x14ac:dyDescent="0.25">
      <c r="A36" s="15" t="s">
        <v>173</v>
      </c>
      <c r="C36" s="7"/>
      <c r="F36" s="7"/>
      <c r="G36" s="7"/>
      <c r="H36" s="77"/>
      <c r="I36" s="5"/>
      <c r="J36" s="130">
        <f t="shared" si="1"/>
        <v>0.23333333333333331</v>
      </c>
      <c r="K36" s="26"/>
      <c r="L36" s="131">
        <v>0.23333333333333331</v>
      </c>
      <c r="M36" s="131">
        <v>0.23333333333333331</v>
      </c>
      <c r="N36" s="131">
        <v>0.23333333333333331</v>
      </c>
      <c r="O36" s="131">
        <v>0.23333333333333331</v>
      </c>
    </row>
    <row r="37" spans="1:15" x14ac:dyDescent="0.25">
      <c r="A37" s="15" t="s">
        <v>187</v>
      </c>
      <c r="C37" s="7"/>
      <c r="F37" s="7"/>
      <c r="G37" s="7"/>
      <c r="H37" s="77"/>
      <c r="I37" s="5"/>
      <c r="J37" s="130">
        <f t="shared" si="1"/>
        <v>0.23333333333333331</v>
      </c>
      <c r="K37" s="26"/>
      <c r="L37" s="131">
        <v>0.23333333333333331</v>
      </c>
      <c r="M37" s="131">
        <v>0.23333333333333331</v>
      </c>
      <c r="N37" s="131">
        <v>0.23333333333333331</v>
      </c>
      <c r="O37" s="131">
        <v>0.23333333333333331</v>
      </c>
    </row>
    <row r="38" spans="1:15" x14ac:dyDescent="0.25">
      <c r="A38" s="132" t="s">
        <v>174</v>
      </c>
      <c r="C38" s="7"/>
      <c r="F38" s="7"/>
      <c r="G38" s="7"/>
      <c r="H38" s="77"/>
      <c r="I38" s="5"/>
      <c r="J38" s="130">
        <f t="shared" si="1"/>
        <v>0.23333333333333331</v>
      </c>
      <c r="K38" s="26"/>
      <c r="L38" s="131">
        <v>0.23333333333333331</v>
      </c>
      <c r="M38" s="131">
        <v>0.23333333333333331</v>
      </c>
      <c r="N38" s="131">
        <v>0.23333333333333331</v>
      </c>
      <c r="O38" s="131">
        <v>0.23333333333333331</v>
      </c>
    </row>
    <row r="39" spans="1:15" x14ac:dyDescent="0.25">
      <c r="A39" s="15" t="s">
        <v>200</v>
      </c>
      <c r="C39" s="7"/>
      <c r="F39" s="7"/>
      <c r="G39" s="7"/>
      <c r="H39" s="77"/>
      <c r="I39" s="5"/>
      <c r="J39" s="83">
        <f t="shared" si="1"/>
        <v>540</v>
      </c>
      <c r="K39" s="26"/>
      <c r="L39" s="26">
        <v>540</v>
      </c>
      <c r="M39" s="26">
        <v>540</v>
      </c>
      <c r="N39" s="26">
        <v>540</v>
      </c>
      <c r="O39" s="26">
        <v>540</v>
      </c>
    </row>
    <row r="40" spans="1:15" x14ac:dyDescent="0.25">
      <c r="A40" s="15" t="s">
        <v>201</v>
      </c>
      <c r="C40" s="7"/>
      <c r="F40" s="7"/>
      <c r="G40" s="7"/>
      <c r="H40" s="77"/>
      <c r="I40" s="5"/>
      <c r="J40" s="83">
        <f t="shared" si="1"/>
        <v>480</v>
      </c>
      <c r="K40" s="26"/>
      <c r="L40" s="26">
        <v>480</v>
      </c>
      <c r="M40" s="26">
        <v>480</v>
      </c>
      <c r="N40" s="26">
        <v>480</v>
      </c>
      <c r="O40" s="26">
        <v>480</v>
      </c>
    </row>
    <row r="41" spans="1:15" x14ac:dyDescent="0.25">
      <c r="A41" s="132" t="s">
        <v>202</v>
      </c>
      <c r="C41" s="7"/>
      <c r="F41" s="7"/>
      <c r="G41" s="7"/>
      <c r="H41" s="77"/>
      <c r="I41" s="5"/>
      <c r="J41" s="83">
        <f t="shared" si="1"/>
        <v>900</v>
      </c>
      <c r="K41" s="26"/>
      <c r="L41" s="26">
        <v>900</v>
      </c>
      <c r="M41" s="26">
        <v>900</v>
      </c>
      <c r="N41" s="26">
        <v>900</v>
      </c>
      <c r="O41" s="26">
        <v>900</v>
      </c>
    </row>
    <row r="42" spans="1:15" x14ac:dyDescent="0.25">
      <c r="A42" s="15" t="s">
        <v>203</v>
      </c>
      <c r="C42" s="7"/>
      <c r="F42" s="7"/>
      <c r="G42" s="7"/>
      <c r="H42" s="77"/>
      <c r="I42" s="5"/>
      <c r="J42" s="83">
        <f t="shared" si="1"/>
        <v>480</v>
      </c>
      <c r="K42" s="26"/>
      <c r="L42" s="26">
        <v>480</v>
      </c>
      <c r="M42" s="26">
        <v>480</v>
      </c>
      <c r="N42" s="26">
        <v>480</v>
      </c>
      <c r="O42" s="26">
        <v>480</v>
      </c>
    </row>
    <row r="43" spans="1:15" x14ac:dyDescent="0.25">
      <c r="A43" s="15" t="s">
        <v>204</v>
      </c>
      <c r="C43" s="7"/>
      <c r="F43" s="7"/>
      <c r="G43" s="7"/>
      <c r="H43" s="77"/>
      <c r="I43" s="5"/>
      <c r="J43" s="83">
        <f t="shared" si="1"/>
        <v>420</v>
      </c>
      <c r="K43" s="26"/>
      <c r="L43" s="26">
        <v>420</v>
      </c>
      <c r="M43" s="26">
        <v>420</v>
      </c>
      <c r="N43" s="26">
        <v>420</v>
      </c>
      <c r="O43" s="26">
        <v>420</v>
      </c>
    </row>
    <row r="44" spans="1:15" x14ac:dyDescent="0.25">
      <c r="A44" s="132" t="s">
        <v>205</v>
      </c>
      <c r="C44" s="7"/>
      <c r="F44" s="7"/>
      <c r="G44" s="7"/>
      <c r="H44" s="77"/>
      <c r="I44" s="5"/>
      <c r="J44" s="83">
        <f t="shared" si="1"/>
        <v>780</v>
      </c>
      <c r="K44" s="26"/>
      <c r="L44" s="26">
        <v>780</v>
      </c>
      <c r="M44" s="26">
        <v>780</v>
      </c>
      <c r="N44" s="26">
        <v>780</v>
      </c>
      <c r="O44" s="26">
        <v>780</v>
      </c>
    </row>
    <row r="45" spans="1:15" x14ac:dyDescent="0.25">
      <c r="A45" s="15" t="s">
        <v>206</v>
      </c>
      <c r="C45" s="7"/>
      <c r="F45" s="7"/>
      <c r="G45" s="7"/>
      <c r="H45" s="77"/>
      <c r="I45" s="5"/>
      <c r="J45" s="83">
        <f t="shared" si="1"/>
        <v>420</v>
      </c>
      <c r="K45" s="26"/>
      <c r="L45" s="26">
        <v>420</v>
      </c>
      <c r="M45" s="26">
        <v>420</v>
      </c>
      <c r="N45" s="26">
        <v>420</v>
      </c>
      <c r="O45" s="26">
        <v>420</v>
      </c>
    </row>
    <row r="46" spans="1:15" x14ac:dyDescent="0.25">
      <c r="A46" s="15" t="s">
        <v>207</v>
      </c>
      <c r="C46" s="7"/>
      <c r="F46" s="7"/>
      <c r="G46" s="7"/>
      <c r="H46" s="77"/>
      <c r="I46" s="5"/>
      <c r="J46" s="83">
        <f t="shared" si="1"/>
        <v>360</v>
      </c>
      <c r="K46" s="26"/>
      <c r="L46" s="26">
        <v>360</v>
      </c>
      <c r="M46" s="26">
        <v>360</v>
      </c>
      <c r="N46" s="26">
        <v>360</v>
      </c>
      <c r="O46" s="26">
        <v>360</v>
      </c>
    </row>
    <row r="47" spans="1:15" x14ac:dyDescent="0.25">
      <c r="A47" s="132" t="s">
        <v>208</v>
      </c>
      <c r="C47" s="7"/>
      <c r="F47" s="7"/>
      <c r="G47" s="7"/>
      <c r="H47" s="77"/>
      <c r="I47" s="5"/>
      <c r="J47" s="83">
        <f t="shared" si="1"/>
        <v>660</v>
      </c>
      <c r="K47" s="26"/>
      <c r="L47" s="26">
        <v>660</v>
      </c>
      <c r="M47" s="26">
        <v>660</v>
      </c>
      <c r="N47" s="26">
        <v>660</v>
      </c>
      <c r="O47" s="26">
        <v>660</v>
      </c>
    </row>
    <row r="48" spans="1:15" x14ac:dyDescent="0.25">
      <c r="A48" s="15" t="s">
        <v>162</v>
      </c>
      <c r="C48" s="7"/>
      <c r="F48" s="7"/>
      <c r="G48" s="7"/>
      <c r="H48" s="77"/>
      <c r="I48" s="5"/>
      <c r="J48" s="83">
        <f t="shared" si="1"/>
        <v>120</v>
      </c>
      <c r="K48" s="26"/>
      <c r="L48" s="26">
        <v>120</v>
      </c>
      <c r="M48" s="26">
        <v>120</v>
      </c>
      <c r="N48" s="26">
        <v>120</v>
      </c>
      <c r="O48" s="26">
        <v>120</v>
      </c>
    </row>
    <row r="49" spans="1:15" s="5" customFormat="1" x14ac:dyDescent="0.25">
      <c r="A49" s="15" t="s">
        <v>155</v>
      </c>
      <c r="C49" s="7"/>
      <c r="D49" s="102"/>
      <c r="E49" s="7" t="s">
        <v>120</v>
      </c>
      <c r="F49" s="7" t="s">
        <v>100</v>
      </c>
      <c r="G49" s="7" t="s">
        <v>7</v>
      </c>
      <c r="H49" s="79">
        <v>0</v>
      </c>
      <c r="J49" s="83">
        <f t="shared" si="1"/>
        <v>135</v>
      </c>
      <c r="K49" s="92"/>
      <c r="L49" s="26">
        <v>135</v>
      </c>
      <c r="M49" s="26">
        <v>135</v>
      </c>
      <c r="N49" s="26">
        <v>135</v>
      </c>
      <c r="O49" s="26">
        <v>135</v>
      </c>
    </row>
    <row r="50" spans="1:15" s="5" customFormat="1" x14ac:dyDescent="0.25">
      <c r="A50" s="15" t="s">
        <v>157</v>
      </c>
      <c r="C50" s="7"/>
      <c r="D50" s="102"/>
      <c r="E50" s="7"/>
      <c r="F50" s="7"/>
      <c r="G50" s="7"/>
      <c r="H50" s="79"/>
      <c r="J50" s="107">
        <f t="shared" si="1"/>
        <v>11500</v>
      </c>
      <c r="K50" s="92"/>
      <c r="L50" s="106">
        <v>11500</v>
      </c>
      <c r="M50" s="106">
        <v>11500</v>
      </c>
      <c r="N50" s="106">
        <v>11500</v>
      </c>
      <c r="O50" s="106">
        <v>11500</v>
      </c>
    </row>
    <row r="51" spans="1:15" s="5" customFormat="1" x14ac:dyDescent="0.25">
      <c r="A51" s="15" t="s">
        <v>158</v>
      </c>
      <c r="C51" s="7"/>
      <c r="D51" s="102"/>
      <c r="E51" s="7"/>
      <c r="F51" s="7"/>
      <c r="G51" s="7"/>
      <c r="H51" s="79"/>
      <c r="J51" s="107">
        <f t="shared" si="1"/>
        <v>3500</v>
      </c>
      <c r="K51" s="92"/>
      <c r="L51" s="106">
        <v>3500</v>
      </c>
      <c r="M51" s="106">
        <v>3500</v>
      </c>
      <c r="N51" s="106">
        <v>3500</v>
      </c>
      <c r="O51" s="106">
        <v>3500</v>
      </c>
    </row>
    <row r="52" spans="1:15" x14ac:dyDescent="0.25">
      <c r="A52" s="15" t="s">
        <v>150</v>
      </c>
      <c r="C52" s="7"/>
      <c r="D52" s="87"/>
      <c r="F52" s="7"/>
      <c r="G52" s="7"/>
      <c r="H52" s="79"/>
      <c r="I52" s="5"/>
      <c r="J52" s="107">
        <f t="shared" si="1"/>
        <v>11500</v>
      </c>
      <c r="K52" s="92"/>
      <c r="L52" s="127">
        <f t="shared" ref="L52:O53" si="2">L50</f>
        <v>11500</v>
      </c>
      <c r="M52" s="127">
        <f t="shared" si="2"/>
        <v>11500</v>
      </c>
      <c r="N52" s="127">
        <f t="shared" si="2"/>
        <v>11500</v>
      </c>
      <c r="O52" s="127">
        <f t="shared" si="2"/>
        <v>11500</v>
      </c>
    </row>
    <row r="53" spans="1:15" x14ac:dyDescent="0.25">
      <c r="A53" s="15" t="s">
        <v>129</v>
      </c>
      <c r="C53" s="7"/>
      <c r="D53" s="87"/>
      <c r="F53" s="7"/>
      <c r="G53" s="7"/>
      <c r="H53" s="79"/>
      <c r="I53" s="5"/>
      <c r="J53" s="107">
        <f t="shared" si="1"/>
        <v>3500</v>
      </c>
      <c r="K53" s="92"/>
      <c r="L53" s="127">
        <f t="shared" si="2"/>
        <v>3500</v>
      </c>
      <c r="M53" s="127">
        <f t="shared" si="2"/>
        <v>3500</v>
      </c>
      <c r="N53" s="127">
        <f t="shared" si="2"/>
        <v>3500</v>
      </c>
      <c r="O53" s="127">
        <f t="shared" si="2"/>
        <v>3500</v>
      </c>
    </row>
    <row r="54" spans="1:15" s="5" customFormat="1" x14ac:dyDescent="0.25">
      <c r="A54" s="15" t="s">
        <v>108</v>
      </c>
      <c r="C54" s="7"/>
      <c r="D54" s="102"/>
      <c r="E54" s="7" t="s">
        <v>119</v>
      </c>
      <c r="F54" s="103" t="s">
        <v>118</v>
      </c>
      <c r="G54" s="7" t="s">
        <v>6</v>
      </c>
      <c r="H54" s="79">
        <v>0</v>
      </c>
      <c r="J54" s="83">
        <f t="shared" si="1"/>
        <v>-630000</v>
      </c>
      <c r="K54" s="92"/>
      <c r="L54" s="81">
        <v>0</v>
      </c>
      <c r="M54" s="81">
        <v>0</v>
      </c>
      <c r="N54" s="81">
        <f>((400*75)+(50*100)+(500*35))*12*-1</f>
        <v>-630000</v>
      </c>
      <c r="O54" s="81">
        <f>((400*75)+(50*100)+(500*35))*12*-1</f>
        <v>-630000</v>
      </c>
    </row>
    <row r="55" spans="1:15" x14ac:dyDescent="0.25">
      <c r="A55" s="15" t="s">
        <v>16</v>
      </c>
      <c r="B55" s="8"/>
      <c r="C55" s="9"/>
      <c r="D55" s="5"/>
      <c r="E55" s="7" t="s">
        <v>120</v>
      </c>
      <c r="F55" s="7" t="s">
        <v>100</v>
      </c>
      <c r="G55" s="7" t="s">
        <v>7</v>
      </c>
      <c r="H55" s="78"/>
      <c r="I55" s="5"/>
      <c r="J55" s="85">
        <f t="shared" si="1"/>
        <v>0</v>
      </c>
      <c r="K55" s="28"/>
      <c r="L55" s="28">
        <v>0</v>
      </c>
      <c r="M55" s="28">
        <v>0</v>
      </c>
      <c r="N55" s="28">
        <v>0</v>
      </c>
      <c r="O55" s="28">
        <v>0</v>
      </c>
    </row>
    <row r="56" spans="1:15" x14ac:dyDescent="0.25">
      <c r="A56" s="15" t="s">
        <v>135</v>
      </c>
      <c r="B56" s="8"/>
      <c r="C56" s="9"/>
      <c r="D56" s="5"/>
      <c r="E56" s="7" t="s">
        <v>120</v>
      </c>
      <c r="F56" s="7" t="s">
        <v>100</v>
      </c>
      <c r="G56" s="7" t="s">
        <v>156</v>
      </c>
      <c r="H56" s="78"/>
      <c r="I56" s="5"/>
      <c r="J56" s="85">
        <f t="shared" si="1"/>
        <v>173</v>
      </c>
      <c r="K56" s="28"/>
      <c r="L56" s="28">
        <v>173</v>
      </c>
      <c r="M56" s="28">
        <v>173</v>
      </c>
      <c r="N56" s="28">
        <v>173</v>
      </c>
      <c r="O56" s="28">
        <v>173</v>
      </c>
    </row>
    <row r="57" spans="1:15" x14ac:dyDescent="0.25">
      <c r="A57" s="15" t="s">
        <v>142</v>
      </c>
      <c r="B57" s="8"/>
      <c r="C57" s="9"/>
      <c r="E57" s="23" t="s">
        <v>120</v>
      </c>
      <c r="F57" s="7" t="s">
        <v>100</v>
      </c>
      <c r="G57" s="7" t="s">
        <v>7</v>
      </c>
      <c r="H57" s="78"/>
      <c r="J57" s="85">
        <f t="shared" si="1"/>
        <v>500000</v>
      </c>
      <c r="K57" s="28"/>
      <c r="L57" s="28">
        <v>500000</v>
      </c>
      <c r="M57" s="28">
        <v>500000</v>
      </c>
      <c r="N57" s="28">
        <v>500000</v>
      </c>
      <c r="O57" s="28">
        <v>500000</v>
      </c>
    </row>
    <row r="58" spans="1:15" x14ac:dyDescent="0.25">
      <c r="A58" s="15" t="s">
        <v>143</v>
      </c>
      <c r="B58" s="8"/>
      <c r="C58" s="9"/>
      <c r="E58" s="23" t="s">
        <v>120</v>
      </c>
      <c r="F58" s="7" t="s">
        <v>100</v>
      </c>
      <c r="G58" s="7" t="s">
        <v>7</v>
      </c>
      <c r="H58" s="78"/>
      <c r="J58" s="85">
        <f t="shared" si="1"/>
        <v>500000</v>
      </c>
      <c r="K58" s="28"/>
      <c r="L58" s="28">
        <v>500000</v>
      </c>
      <c r="M58" s="28">
        <v>500000</v>
      </c>
      <c r="N58" s="28">
        <v>500000</v>
      </c>
      <c r="O58" s="28">
        <v>500000</v>
      </c>
    </row>
    <row r="59" spans="1:15" x14ac:dyDescent="0.25">
      <c r="A59" s="15" t="s">
        <v>133</v>
      </c>
      <c r="B59" s="8"/>
      <c r="C59" s="9"/>
      <c r="E59" s="23" t="s">
        <v>120</v>
      </c>
      <c r="F59" s="7" t="s">
        <v>100</v>
      </c>
      <c r="G59" s="7" t="s">
        <v>6</v>
      </c>
      <c r="H59" s="79">
        <v>0</v>
      </c>
      <c r="J59" s="85">
        <f t="shared" si="1"/>
        <v>0</v>
      </c>
      <c r="K59" s="28"/>
      <c r="L59" s="46">
        <f>IF(L10="Yes",50000,0)</f>
        <v>0</v>
      </c>
      <c r="M59" s="46">
        <f>IF(M10="Yes",50000,0)</f>
        <v>0</v>
      </c>
      <c r="N59" s="46">
        <f>IF(N10="Yes",50000,0)</f>
        <v>0</v>
      </c>
      <c r="O59" s="46">
        <f>IF(O10="Yes",50000,0)</f>
        <v>0</v>
      </c>
    </row>
    <row r="60" spans="1:15" x14ac:dyDescent="0.25">
      <c r="A60" s="15" t="s">
        <v>134</v>
      </c>
      <c r="B60" s="8"/>
      <c r="C60" s="9"/>
      <c r="E60" s="23" t="s">
        <v>120</v>
      </c>
      <c r="F60" s="7" t="s">
        <v>100</v>
      </c>
      <c r="G60" s="7" t="s">
        <v>6</v>
      </c>
      <c r="H60" s="79">
        <v>0</v>
      </c>
      <c r="J60" s="85">
        <f t="shared" si="1"/>
        <v>500000</v>
      </c>
      <c r="K60" s="28"/>
      <c r="L60" s="28">
        <v>500000</v>
      </c>
      <c r="M60" s="28">
        <v>500000</v>
      </c>
      <c r="N60" s="28">
        <v>500000</v>
      </c>
      <c r="O60" s="28">
        <v>500000</v>
      </c>
    </row>
    <row r="61" spans="1:15" s="5" customFormat="1" x14ac:dyDescent="0.25">
      <c r="A61" s="15" t="s">
        <v>147</v>
      </c>
      <c r="B61" s="8"/>
      <c r="C61" s="9"/>
      <c r="E61" s="7" t="s">
        <v>120</v>
      </c>
      <c r="F61" s="7" t="s">
        <v>100</v>
      </c>
      <c r="G61" s="7" t="s">
        <v>6</v>
      </c>
      <c r="H61" s="79">
        <v>0</v>
      </c>
      <c r="J61" s="85">
        <f t="shared" si="1"/>
        <v>432000</v>
      </c>
      <c r="K61" s="121"/>
      <c r="L61" s="121">
        <v>432000</v>
      </c>
      <c r="M61" s="121">
        <v>432000</v>
      </c>
      <c r="N61" s="121">
        <v>432000</v>
      </c>
      <c r="O61" s="121">
        <v>432000</v>
      </c>
    </row>
    <row r="62" spans="1:15" s="5" customFormat="1" x14ac:dyDescent="0.25">
      <c r="A62" s="15" t="s">
        <v>148</v>
      </c>
      <c r="B62" s="8"/>
      <c r="C62" s="9"/>
      <c r="E62" s="7" t="s">
        <v>120</v>
      </c>
      <c r="F62" s="7" t="s">
        <v>100</v>
      </c>
      <c r="G62" s="7" t="s">
        <v>7</v>
      </c>
      <c r="H62" s="79">
        <v>0</v>
      </c>
      <c r="J62" s="85">
        <f t="shared" si="1"/>
        <v>81188</v>
      </c>
      <c r="K62" s="121"/>
      <c r="L62" s="121">
        <v>81188</v>
      </c>
      <c r="M62" s="121">
        <v>81188</v>
      </c>
      <c r="N62" s="121">
        <v>81188</v>
      </c>
      <c r="O62" s="121">
        <v>81188</v>
      </c>
    </row>
    <row r="63" spans="1:15" x14ac:dyDescent="0.25">
      <c r="A63" s="15" t="s">
        <v>128</v>
      </c>
      <c r="B63" s="10"/>
      <c r="C63" s="9"/>
      <c r="E63" s="23" t="s">
        <v>120</v>
      </c>
      <c r="F63" s="7" t="s">
        <v>100</v>
      </c>
      <c r="G63" s="7" t="s">
        <v>6</v>
      </c>
      <c r="H63" s="79">
        <v>0</v>
      </c>
      <c r="J63" s="85">
        <f t="shared" si="1"/>
        <v>0</v>
      </c>
      <c r="K63" s="28"/>
      <c r="L63" s="28">
        <v>0</v>
      </c>
      <c r="M63" s="28">
        <v>0</v>
      </c>
      <c r="N63" s="28">
        <v>0</v>
      </c>
      <c r="O63" s="28">
        <v>0</v>
      </c>
    </row>
    <row r="64" spans="1:15" x14ac:dyDescent="0.25">
      <c r="A64" s="15" t="s">
        <v>9</v>
      </c>
      <c r="B64" s="12"/>
      <c r="C64" s="9"/>
      <c r="E64" s="23" t="s">
        <v>86</v>
      </c>
      <c r="F64" s="23" t="s">
        <v>98</v>
      </c>
      <c r="G64" s="7" t="s">
        <v>6</v>
      </c>
      <c r="H64" s="79">
        <v>0</v>
      </c>
      <c r="J64" s="85">
        <f t="shared" si="1"/>
        <v>0</v>
      </c>
      <c r="K64" s="28"/>
      <c r="L64" s="28">
        <v>0</v>
      </c>
      <c r="M64" s="28">
        <v>0</v>
      </c>
      <c r="N64" s="28">
        <v>0</v>
      </c>
      <c r="O64" s="28">
        <v>0</v>
      </c>
    </row>
    <row r="65" spans="1:15" x14ac:dyDescent="0.25">
      <c r="A65" s="15" t="s">
        <v>113</v>
      </c>
      <c r="E65" s="23" t="s">
        <v>119</v>
      </c>
      <c r="F65" s="103" t="s">
        <v>118</v>
      </c>
      <c r="G65" s="7" t="s">
        <v>6</v>
      </c>
      <c r="H65" s="79">
        <v>0</v>
      </c>
      <c r="J65" s="85">
        <f t="shared" si="1"/>
        <v>-442050</v>
      </c>
      <c r="K65" s="46"/>
      <c r="L65" s="46">
        <v>0</v>
      </c>
      <c r="M65" s="46">
        <v>0</v>
      </c>
      <c r="N65" s="46">
        <f>-(((50*4796)+(50*7945))-(100*1950))</f>
        <v>-442050</v>
      </c>
      <c r="O65" s="46">
        <f>-(((50*4796)+(50*7945))-(100*1950))</f>
        <v>-442050</v>
      </c>
    </row>
    <row r="66" spans="1:15" x14ac:dyDescent="0.25">
      <c r="A66" s="15" t="s">
        <v>115</v>
      </c>
      <c r="E66" s="23" t="s">
        <v>119</v>
      </c>
      <c r="F66" s="103" t="s">
        <v>118</v>
      </c>
      <c r="G66" s="7" t="s">
        <v>6</v>
      </c>
      <c r="H66" s="79">
        <v>0</v>
      </c>
      <c r="J66" s="85">
        <f t="shared" si="1"/>
        <v>-175000</v>
      </c>
      <c r="K66" s="46"/>
      <c r="L66" s="28">
        <v>0</v>
      </c>
      <c r="M66" s="28">
        <v>0</v>
      </c>
      <c r="N66" s="28">
        <v>-175000</v>
      </c>
      <c r="O66" s="28">
        <v>-175000</v>
      </c>
    </row>
    <row r="67" spans="1:15" s="5" customFormat="1" x14ac:dyDescent="0.25">
      <c r="A67" s="6" t="s">
        <v>104</v>
      </c>
      <c r="C67" s="7"/>
      <c r="E67" s="7" t="s">
        <v>119</v>
      </c>
      <c r="F67" s="103" t="s">
        <v>118</v>
      </c>
      <c r="G67" s="7" t="s">
        <v>6</v>
      </c>
      <c r="H67" s="80">
        <v>0</v>
      </c>
      <c r="J67" s="83">
        <f t="shared" si="1"/>
        <v>0</v>
      </c>
      <c r="K67" s="26"/>
      <c r="L67" s="81">
        <v>0</v>
      </c>
      <c r="M67" s="81">
        <v>0</v>
      </c>
      <c r="N67" s="81">
        <v>0</v>
      </c>
      <c r="O67" s="81">
        <v>0</v>
      </c>
    </row>
    <row r="68" spans="1:15" s="5" customFormat="1" x14ac:dyDescent="0.25">
      <c r="A68" s="15" t="s">
        <v>107</v>
      </c>
      <c r="C68" s="7"/>
      <c r="E68" s="7" t="s">
        <v>119</v>
      </c>
      <c r="F68" s="103" t="s">
        <v>118</v>
      </c>
      <c r="G68" s="7" t="s">
        <v>6</v>
      </c>
      <c r="H68" s="80">
        <v>0</v>
      </c>
      <c r="J68" s="83">
        <f t="shared" si="1"/>
        <v>0</v>
      </c>
      <c r="K68" s="26"/>
      <c r="L68" s="26">
        <v>0</v>
      </c>
      <c r="M68" s="26">
        <v>0</v>
      </c>
      <c r="N68" s="26">
        <v>0</v>
      </c>
      <c r="O68" s="26">
        <v>0</v>
      </c>
    </row>
    <row r="69" spans="1:15" ht="6.75" customHeight="1" x14ac:dyDescent="0.25">
      <c r="F69" s="23"/>
      <c r="G69" s="5"/>
      <c r="J69" s="99"/>
    </row>
    <row r="70" spans="1:15" ht="13.8" x14ac:dyDescent="0.3">
      <c r="A70" s="98" t="s">
        <v>95</v>
      </c>
      <c r="J70" s="99"/>
    </row>
    <row r="71" spans="1:15" x14ac:dyDescent="0.25">
      <c r="A71" s="6" t="s">
        <v>4</v>
      </c>
      <c r="C71" s="7"/>
      <c r="G71" s="23"/>
      <c r="H71" s="78"/>
      <c r="I71" s="5"/>
      <c r="J71" s="84">
        <f t="shared" ref="J71:J78" si="3">IF($C$5=1,L71,IF($C$5=2,M71,IF($C$5=3,N71,IF($C$5=4,O71,0))))</f>
        <v>15000</v>
      </c>
      <c r="K71" s="25"/>
      <c r="L71" s="109">
        <f>SUM(L50:L51)</f>
        <v>15000</v>
      </c>
      <c r="M71" s="109">
        <f>SUM(M50:M51)</f>
        <v>15000</v>
      </c>
      <c r="N71" s="109">
        <f>SUM(N50:N51)</f>
        <v>15000</v>
      </c>
      <c r="O71" s="109">
        <f>SUM(O50:O51)</f>
        <v>15000</v>
      </c>
    </row>
    <row r="72" spans="1:15" x14ac:dyDescent="0.25">
      <c r="A72" s="15" t="s">
        <v>149</v>
      </c>
      <c r="C72" s="7"/>
      <c r="G72" s="23"/>
      <c r="H72" s="78"/>
      <c r="I72" s="5"/>
      <c r="J72" s="86">
        <f t="shared" si="3"/>
        <v>0.2</v>
      </c>
      <c r="K72" s="25"/>
      <c r="L72" s="27">
        <v>0.2</v>
      </c>
      <c r="M72" s="27">
        <v>0.2</v>
      </c>
      <c r="N72" s="27">
        <v>0.2</v>
      </c>
      <c r="O72" s="27">
        <v>0.2</v>
      </c>
    </row>
    <row r="73" spans="1:15" x14ac:dyDescent="0.25">
      <c r="A73" s="15" t="s">
        <v>176</v>
      </c>
      <c r="C73" s="7"/>
      <c r="G73" s="23"/>
      <c r="H73" s="78"/>
      <c r="I73" s="5"/>
      <c r="J73" s="86">
        <f t="shared" si="3"/>
        <v>0.11</v>
      </c>
      <c r="K73" s="25"/>
      <c r="L73" s="27">
        <v>0.11</v>
      </c>
      <c r="M73" s="27">
        <v>0.11</v>
      </c>
      <c r="N73" s="27">
        <v>0.11</v>
      </c>
      <c r="O73" s="27">
        <v>0.11</v>
      </c>
    </row>
    <row r="74" spans="1:15" x14ac:dyDescent="0.25">
      <c r="A74" s="15" t="s">
        <v>14</v>
      </c>
      <c r="B74" s="14"/>
      <c r="C74" s="9"/>
      <c r="J74" s="86">
        <f t="shared" si="3"/>
        <v>0.1</v>
      </c>
      <c r="K74" s="27"/>
      <c r="L74" s="27">
        <v>0.1</v>
      </c>
      <c r="M74" s="27">
        <v>0.1</v>
      </c>
      <c r="N74" s="27">
        <v>0.1</v>
      </c>
      <c r="O74" s="27">
        <v>0.1</v>
      </c>
    </row>
    <row r="75" spans="1:15" x14ac:dyDescent="0.25">
      <c r="A75" s="6" t="s">
        <v>161</v>
      </c>
      <c r="B75" s="14"/>
      <c r="C75" s="9"/>
      <c r="J75" s="128">
        <f t="shared" si="3"/>
        <v>8.2500000000000004E-2</v>
      </c>
      <c r="K75" s="27"/>
      <c r="L75" s="129">
        <v>8.2500000000000004E-2</v>
      </c>
      <c r="M75" s="129">
        <v>8.2500000000000004E-2</v>
      </c>
      <c r="N75" s="129">
        <v>8.2500000000000004E-2</v>
      </c>
      <c r="O75" s="129">
        <v>8.2500000000000004E-2</v>
      </c>
    </row>
    <row r="76" spans="1:15" x14ac:dyDescent="0.25">
      <c r="A76" s="6" t="s">
        <v>70</v>
      </c>
      <c r="B76" s="14"/>
      <c r="C76" s="9"/>
      <c r="J76" s="84">
        <f t="shared" si="3"/>
        <v>12</v>
      </c>
      <c r="K76" s="25"/>
      <c r="L76" s="25">
        <v>12</v>
      </c>
      <c r="M76" s="25">
        <v>12</v>
      </c>
      <c r="N76" s="25">
        <v>12</v>
      </c>
      <c r="O76" s="25">
        <v>12</v>
      </c>
    </row>
    <row r="77" spans="1:15" x14ac:dyDescent="0.25">
      <c r="A77" s="15" t="s">
        <v>45</v>
      </c>
      <c r="J77" s="82" t="str">
        <f t="shared" si="3"/>
        <v>D</v>
      </c>
      <c r="K77" s="30"/>
      <c r="L77" s="30" t="s">
        <v>86</v>
      </c>
      <c r="M77" s="30" t="s">
        <v>86</v>
      </c>
      <c r="N77" s="30" t="s">
        <v>86</v>
      </c>
      <c r="O77" s="30" t="s">
        <v>86</v>
      </c>
    </row>
    <row r="78" spans="1:15" ht="13.8" thickBot="1" x14ac:dyDescent="0.3">
      <c r="A78" s="15" t="s">
        <v>92</v>
      </c>
      <c r="J78" s="101">
        <f t="shared" si="3"/>
        <v>0.4</v>
      </c>
      <c r="K78" s="40"/>
      <c r="L78" s="40">
        <v>0.4</v>
      </c>
      <c r="M78" s="40">
        <v>0.4</v>
      </c>
      <c r="N78" s="40">
        <v>0.4</v>
      </c>
      <c r="O78" s="40">
        <v>0.4</v>
      </c>
    </row>
    <row r="81" spans="1:15" s="33" customFormat="1" x14ac:dyDescent="0.25">
      <c r="E81" s="32"/>
      <c r="J81" s="97" t="s">
        <v>94</v>
      </c>
      <c r="L81" s="110"/>
      <c r="M81" s="110"/>
      <c r="N81" s="110">
        <f>Cashflows!$F$81/1000000</f>
        <v>-25.491727262256571</v>
      </c>
      <c r="O81" s="110"/>
    </row>
    <row r="82" spans="1:15" x14ac:dyDescent="0.25">
      <c r="B82" s="42"/>
      <c r="C82" s="95"/>
      <c r="D82" s="57"/>
      <c r="E82" s="37"/>
      <c r="F82" s="42"/>
    </row>
    <row r="83" spans="1:15" x14ac:dyDescent="0.25">
      <c r="A83" s="36" t="s">
        <v>102</v>
      </c>
      <c r="B83" s="42"/>
      <c r="C83" s="94"/>
      <c r="D83" s="96"/>
      <c r="E83" s="37"/>
      <c r="F83" s="42"/>
    </row>
    <row r="84" spans="1:15" x14ac:dyDescent="0.25">
      <c r="A84" s="36" t="s">
        <v>112</v>
      </c>
    </row>
    <row r="85" spans="1:15" x14ac:dyDescent="0.25">
      <c r="A85" s="36" t="s">
        <v>124</v>
      </c>
    </row>
    <row r="86" spans="1:15" x14ac:dyDescent="0.25">
      <c r="A86" s="36" t="s">
        <v>125</v>
      </c>
      <c r="L86" s="93"/>
      <c r="M86" s="93"/>
      <c r="N86" s="93"/>
    </row>
    <row r="87" spans="1:15" x14ac:dyDescent="0.25">
      <c r="L87" s="93"/>
      <c r="M87" s="93"/>
      <c r="N87" s="93"/>
    </row>
    <row r="92" spans="1:15" x14ac:dyDescent="0.25">
      <c r="D92" s="42"/>
      <c r="E92" s="37"/>
      <c r="F92" s="42"/>
      <c r="G92" s="37"/>
      <c r="H92" s="108"/>
    </row>
    <row r="93" spans="1:15" x14ac:dyDescent="0.25">
      <c r="D93" s="42"/>
      <c r="E93" s="37"/>
      <c r="F93" s="42"/>
      <c r="G93" s="37"/>
      <c r="H93" s="108"/>
    </row>
    <row r="94" spans="1:15" x14ac:dyDescent="0.25">
      <c r="D94" s="42"/>
      <c r="E94" s="37"/>
      <c r="F94" s="42"/>
      <c r="G94" s="42"/>
      <c r="H94" s="108"/>
    </row>
    <row r="95" spans="1:15" x14ac:dyDescent="0.25">
      <c r="D95" s="42"/>
      <c r="E95" s="37"/>
      <c r="F95" s="42"/>
      <c r="G95" s="42"/>
      <c r="H95" s="94"/>
    </row>
    <row r="96" spans="1:15" x14ac:dyDescent="0.25">
      <c r="D96" s="42"/>
      <c r="E96" s="37"/>
      <c r="F96" s="42"/>
      <c r="G96" s="42"/>
      <c r="H96" s="42"/>
    </row>
    <row r="97" spans="4:8" x14ac:dyDescent="0.25">
      <c r="D97" s="42"/>
      <c r="E97" s="37"/>
      <c r="F97" s="42"/>
      <c r="G97" s="42"/>
      <c r="H97" s="42"/>
    </row>
  </sheetData>
  <pageMargins left="0.74" right="0.28000000000000003" top="0.67" bottom="0.7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workbookViewId="0">
      <pane xSplit="4" ySplit="9" topLeftCell="F10" activePane="bottomRight" state="frozen"/>
      <selection activeCell="E11" sqref="E11"/>
      <selection pane="topRight" activeCell="E11" sqref="E11"/>
      <selection pane="bottomLeft" activeCell="E11" sqref="E11"/>
      <selection pane="bottomRight" activeCell="F10" sqref="F10"/>
    </sheetView>
  </sheetViews>
  <sheetFormatPr defaultColWidth="9.109375" defaultRowHeight="13.2" x14ac:dyDescent="0.25"/>
  <cols>
    <col min="1" max="1" width="9.6640625" style="2" customWidth="1"/>
    <col min="2" max="2" width="14.6640625" style="2" customWidth="1"/>
    <col min="3" max="3" width="14.109375" style="2" customWidth="1"/>
    <col min="4" max="4" width="12.5546875" style="2" customWidth="1"/>
    <col min="5" max="5" width="14.109375" style="2" hidden="1" customWidth="1"/>
    <col min="6" max="6" width="13.6640625" style="2" customWidth="1"/>
    <col min="7" max="14" width="13.109375" style="2" customWidth="1"/>
    <col min="15" max="15" width="2.6640625" style="2" customWidth="1"/>
    <col min="16" max="16" width="15.88671875" style="2" customWidth="1"/>
    <col min="17" max="16384" width="9.109375" style="2"/>
  </cols>
  <sheetData>
    <row r="1" spans="1:16" s="18" customFormat="1" ht="20.399999999999999" x14ac:dyDescent="0.35">
      <c r="A1" s="18" t="str">
        <f>'Assum. used in model'!A1</f>
        <v>Enron PC and ISP Analysis</v>
      </c>
    </row>
    <row r="2" spans="1:16" x14ac:dyDescent="0.25">
      <c r="F2" s="68" t="s">
        <v>79</v>
      </c>
    </row>
    <row r="3" spans="1:16" ht="13.8" x14ac:dyDescent="0.3">
      <c r="A3" s="1" t="s">
        <v>3</v>
      </c>
      <c r="F3" s="69" t="s">
        <v>80</v>
      </c>
    </row>
    <row r="4" spans="1:16" ht="13.8" thickBot="1" x14ac:dyDescent="0.3">
      <c r="F4" s="36" t="s">
        <v>83</v>
      </c>
    </row>
    <row r="5" spans="1:16" ht="13.8" thickBot="1" x14ac:dyDescent="0.3">
      <c r="B5" s="71" t="s">
        <v>1</v>
      </c>
      <c r="C5" s="89">
        <f>'Assum. used in model'!C5</f>
        <v>3</v>
      </c>
    </row>
    <row r="6" spans="1:16" x14ac:dyDescent="0.25">
      <c r="B6" s="16"/>
      <c r="D6" s="37"/>
      <c r="F6" s="47"/>
      <c r="G6" s="47"/>
      <c r="H6" s="47"/>
      <c r="I6" s="47"/>
      <c r="J6" s="47"/>
      <c r="K6" s="47"/>
      <c r="L6" s="47"/>
      <c r="M6" s="47"/>
      <c r="N6" s="47"/>
    </row>
    <row r="7" spans="1:16" x14ac:dyDescent="0.25">
      <c r="F7" s="47"/>
      <c r="G7" s="47"/>
      <c r="H7" s="47"/>
      <c r="I7" s="47"/>
      <c r="J7" s="47"/>
      <c r="K7" s="47"/>
      <c r="L7" s="47"/>
      <c r="M7" s="47"/>
      <c r="N7" s="47"/>
    </row>
    <row r="8" spans="1:16" x14ac:dyDescent="0.25">
      <c r="E8" s="32" t="s">
        <v>23</v>
      </c>
      <c r="F8" s="32" t="s">
        <v>23</v>
      </c>
      <c r="G8" s="32" t="s">
        <v>23</v>
      </c>
      <c r="H8" s="32" t="s">
        <v>23</v>
      </c>
      <c r="I8" s="32" t="s">
        <v>23</v>
      </c>
      <c r="J8" s="32" t="s">
        <v>23</v>
      </c>
      <c r="K8" s="32" t="s">
        <v>23</v>
      </c>
      <c r="L8" s="32" t="s">
        <v>23</v>
      </c>
      <c r="M8" s="32" t="s">
        <v>23</v>
      </c>
      <c r="N8" s="32" t="s">
        <v>23</v>
      </c>
    </row>
    <row r="9" spans="1:16" x14ac:dyDescent="0.25">
      <c r="E9" s="34">
        <v>2000</v>
      </c>
      <c r="F9" s="34">
        <v>2001</v>
      </c>
      <c r="G9" s="34">
        <v>2002</v>
      </c>
      <c r="H9" s="34">
        <v>2003</v>
      </c>
      <c r="I9" s="34">
        <v>2004</v>
      </c>
      <c r="J9" s="34">
        <v>2005</v>
      </c>
      <c r="K9" s="34">
        <v>2006</v>
      </c>
      <c r="L9" s="34">
        <v>2007</v>
      </c>
      <c r="M9" s="34">
        <v>2008</v>
      </c>
      <c r="N9" s="34">
        <v>2009</v>
      </c>
      <c r="P9" s="34" t="s">
        <v>44</v>
      </c>
    </row>
    <row r="10" spans="1:16" ht="13.8" x14ac:dyDescent="0.3">
      <c r="A10" s="98" t="s">
        <v>151</v>
      </c>
      <c r="E10" s="34"/>
      <c r="F10" s="123"/>
      <c r="G10" s="34"/>
      <c r="H10" s="34"/>
      <c r="I10" s="34"/>
      <c r="J10" s="34"/>
      <c r="K10" s="34"/>
      <c r="L10" s="34"/>
      <c r="M10" s="34"/>
      <c r="N10" s="34"/>
    </row>
    <row r="11" spans="1:16" x14ac:dyDescent="0.25">
      <c r="A11" s="36" t="s">
        <v>82</v>
      </c>
      <c r="E11" s="47">
        <v>0</v>
      </c>
      <c r="F11" s="47">
        <f>'Assum. used in model'!$J$50</f>
        <v>11500</v>
      </c>
      <c r="G11" s="47">
        <f>F12*'Assum. used in model'!$J$72</f>
        <v>2300</v>
      </c>
      <c r="H11" s="47">
        <f>G12*'Assum. used in model'!$J$72</f>
        <v>2760</v>
      </c>
      <c r="I11" s="47">
        <f>H12*'Assum. used in model'!$J$72</f>
        <v>3312</v>
      </c>
      <c r="J11" s="47">
        <f>I12*'Assum. used in model'!$J$72</f>
        <v>3974.4</v>
      </c>
      <c r="K11" s="47">
        <f>J12*'Assum. used in model'!$J$72</f>
        <v>4769.2800000000007</v>
      </c>
      <c r="L11" s="47">
        <f>K12*'Assum. used in model'!$J$72</f>
        <v>5723.1360000000004</v>
      </c>
      <c r="M11" s="47">
        <f>L12*'Assum. used in model'!$J$72</f>
        <v>6867.7632000000003</v>
      </c>
      <c r="N11" s="47">
        <f>M12*'Assum. used in model'!$J$72</f>
        <v>8241.3158400000011</v>
      </c>
      <c r="P11" s="65">
        <f>SUM(E11:N11)</f>
        <v>49447.895040000003</v>
      </c>
    </row>
    <row r="12" spans="1:16" x14ac:dyDescent="0.25">
      <c r="A12" s="2" t="s">
        <v>73</v>
      </c>
      <c r="E12" s="63">
        <f>E11</f>
        <v>0</v>
      </c>
      <c r="F12" s="63">
        <f>E12+F11</f>
        <v>11500</v>
      </c>
      <c r="G12" s="63">
        <f t="shared" ref="G12:N12" si="0">F12+G11</f>
        <v>13800</v>
      </c>
      <c r="H12" s="63">
        <f t="shared" si="0"/>
        <v>16560</v>
      </c>
      <c r="I12" s="63">
        <f t="shared" si="0"/>
        <v>19872</v>
      </c>
      <c r="J12" s="63">
        <f t="shared" si="0"/>
        <v>23846.400000000001</v>
      </c>
      <c r="K12" s="63">
        <f t="shared" si="0"/>
        <v>28615.68</v>
      </c>
      <c r="L12" s="63">
        <f t="shared" si="0"/>
        <v>34338.815999999999</v>
      </c>
      <c r="M12" s="63">
        <f t="shared" si="0"/>
        <v>41206.5792</v>
      </c>
      <c r="N12" s="63">
        <f t="shared" si="0"/>
        <v>49447.895040000003</v>
      </c>
      <c r="P12" s="65">
        <f>N12</f>
        <v>49447.895040000003</v>
      </c>
    </row>
    <row r="13" spans="1:16" x14ac:dyDescent="0.25">
      <c r="E13" s="63"/>
      <c r="F13" s="63"/>
      <c r="G13" s="63"/>
      <c r="H13" s="63"/>
      <c r="I13" s="63"/>
      <c r="J13" s="63"/>
      <c r="K13" s="63"/>
      <c r="L13" s="63"/>
      <c r="M13" s="63"/>
      <c r="N13" s="63"/>
      <c r="P13" s="65"/>
    </row>
    <row r="14" spans="1:16" ht="13.8" x14ac:dyDescent="0.3">
      <c r="A14" s="98" t="s">
        <v>152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P14" s="65"/>
    </row>
    <row r="15" spans="1:16" x14ac:dyDescent="0.25">
      <c r="A15" s="36" t="s">
        <v>82</v>
      </c>
      <c r="E15" s="64">
        <v>0</v>
      </c>
      <c r="F15" s="63">
        <f>'Assum. used in model'!$J$51</f>
        <v>3500</v>
      </c>
      <c r="G15" s="47">
        <f>F16*'Assum. used in model'!$J$72</f>
        <v>700</v>
      </c>
      <c r="H15" s="47">
        <f>G16*'Assum. used in model'!$J$72</f>
        <v>840</v>
      </c>
      <c r="I15" s="47">
        <f>H16*'Assum. used in model'!$J$72</f>
        <v>1008</v>
      </c>
      <c r="J15" s="47">
        <f>I16*'Assum. used in model'!$J$72</f>
        <v>1209.6000000000001</v>
      </c>
      <c r="K15" s="47">
        <f>J16*'Assum. used in model'!$J$72</f>
        <v>1451.5200000000002</v>
      </c>
      <c r="L15" s="47">
        <f>K16*'Assum. used in model'!$J$72</f>
        <v>1741.8240000000003</v>
      </c>
      <c r="M15" s="47">
        <f>L16*'Assum. used in model'!$J$72</f>
        <v>2090.1888000000004</v>
      </c>
      <c r="N15" s="47">
        <f>M16*'Assum. used in model'!$J$72</f>
        <v>2508.2265600000005</v>
      </c>
      <c r="P15" s="65">
        <f>SUM(E15:N15)</f>
        <v>15049.359360000002</v>
      </c>
    </row>
    <row r="16" spans="1:16" x14ac:dyDescent="0.25">
      <c r="A16" s="2" t="s">
        <v>73</v>
      </c>
      <c r="E16" s="63">
        <f>E15</f>
        <v>0</v>
      </c>
      <c r="F16" s="63">
        <f>E16+F15</f>
        <v>3500</v>
      </c>
      <c r="G16" s="63">
        <f t="shared" ref="G16:N16" si="1">F16+G15</f>
        <v>4200</v>
      </c>
      <c r="H16" s="63">
        <f t="shared" si="1"/>
        <v>5040</v>
      </c>
      <c r="I16" s="63">
        <f t="shared" si="1"/>
        <v>6048</v>
      </c>
      <c r="J16" s="63">
        <f t="shared" si="1"/>
        <v>7257.6</v>
      </c>
      <c r="K16" s="63">
        <f t="shared" si="1"/>
        <v>8709.1200000000008</v>
      </c>
      <c r="L16" s="63">
        <f t="shared" si="1"/>
        <v>10450.944000000001</v>
      </c>
      <c r="M16" s="63">
        <f t="shared" si="1"/>
        <v>12541.132800000001</v>
      </c>
      <c r="N16" s="63">
        <f t="shared" si="1"/>
        <v>15049.359360000002</v>
      </c>
      <c r="P16" s="65">
        <f>N16</f>
        <v>15049.359360000002</v>
      </c>
    </row>
    <row r="17" spans="1:16" x14ac:dyDescent="0.25">
      <c r="E17" s="63"/>
      <c r="F17" s="63"/>
      <c r="G17" s="63"/>
      <c r="H17" s="63"/>
      <c r="I17" s="63"/>
      <c r="J17" s="63"/>
      <c r="K17" s="63"/>
      <c r="L17" s="63"/>
      <c r="M17" s="63"/>
      <c r="N17" s="63"/>
      <c r="P17" s="65"/>
    </row>
    <row r="18" spans="1:16" ht="13.8" x14ac:dyDescent="0.3">
      <c r="A18" s="98" t="s">
        <v>153</v>
      </c>
      <c r="E18" s="124">
        <f t="shared" ref="E18:N18" si="2">E12+E16</f>
        <v>0</v>
      </c>
      <c r="F18" s="124">
        <f t="shared" si="2"/>
        <v>15000</v>
      </c>
      <c r="G18" s="124">
        <f t="shared" si="2"/>
        <v>18000</v>
      </c>
      <c r="H18" s="124">
        <f t="shared" si="2"/>
        <v>21600</v>
      </c>
      <c r="I18" s="124">
        <f t="shared" si="2"/>
        <v>25920</v>
      </c>
      <c r="J18" s="124">
        <f t="shared" si="2"/>
        <v>31104</v>
      </c>
      <c r="K18" s="124">
        <f t="shared" si="2"/>
        <v>37324.800000000003</v>
      </c>
      <c r="L18" s="124">
        <f t="shared" si="2"/>
        <v>44789.760000000002</v>
      </c>
      <c r="M18" s="124">
        <f t="shared" si="2"/>
        <v>53747.712</v>
      </c>
      <c r="N18" s="124">
        <f t="shared" si="2"/>
        <v>64497.254400000005</v>
      </c>
      <c r="P18" s="65">
        <f>N18</f>
        <v>64497.254400000005</v>
      </c>
    </row>
    <row r="19" spans="1:16" x14ac:dyDescent="0.25">
      <c r="E19" s="63"/>
      <c r="F19" s="63"/>
      <c r="G19" s="63"/>
      <c r="H19" s="63"/>
      <c r="I19" s="63"/>
      <c r="J19" s="63"/>
      <c r="K19" s="63"/>
      <c r="L19" s="63"/>
      <c r="M19" s="63"/>
      <c r="N19" s="63"/>
      <c r="P19" s="65"/>
    </row>
    <row r="20" spans="1:16" ht="13.8" x14ac:dyDescent="0.3">
      <c r="A20" s="98" t="s">
        <v>130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P20" s="65"/>
    </row>
    <row r="21" spans="1:16" x14ac:dyDescent="0.25">
      <c r="A21" s="36" t="s">
        <v>82</v>
      </c>
      <c r="E21" s="47">
        <v>0</v>
      </c>
      <c r="F21" s="47">
        <f>'Assum. used in model'!$J$52</f>
        <v>11500</v>
      </c>
      <c r="G21" s="47">
        <f>F22*'Assum. used in model'!$J$72</f>
        <v>2300</v>
      </c>
      <c r="H21" s="47">
        <f>G22*'Assum. used in model'!$J$72</f>
        <v>2760</v>
      </c>
      <c r="I21" s="47">
        <f>H22*'Assum. used in model'!$J$72</f>
        <v>3312</v>
      </c>
      <c r="J21" s="47">
        <f>I22*'Assum. used in model'!$J$72</f>
        <v>3974.4</v>
      </c>
      <c r="K21" s="47">
        <f>J22*'Assum. used in model'!$J$72</f>
        <v>4769.2800000000007</v>
      </c>
      <c r="L21" s="47">
        <f>K22*'Assum. used in model'!$J$72</f>
        <v>5723.1360000000004</v>
      </c>
      <c r="M21" s="47">
        <f>L22*'Assum. used in model'!$J$72</f>
        <v>6867.7632000000003</v>
      </c>
      <c r="N21" s="47">
        <f>M22*'Assum. used in model'!$J$72</f>
        <v>8241.3158400000011</v>
      </c>
      <c r="P21" s="65">
        <f>SUM(E21:N21)</f>
        <v>49447.895040000003</v>
      </c>
    </row>
    <row r="22" spans="1:16" x14ac:dyDescent="0.25">
      <c r="A22" s="2" t="s">
        <v>73</v>
      </c>
      <c r="E22" s="63">
        <f>E21</f>
        <v>0</v>
      </c>
      <c r="F22" s="63">
        <f>E22+F21</f>
        <v>11500</v>
      </c>
      <c r="G22" s="63">
        <f t="shared" ref="G22:N22" si="3">F22+G21</f>
        <v>13800</v>
      </c>
      <c r="H22" s="63">
        <f t="shared" si="3"/>
        <v>16560</v>
      </c>
      <c r="I22" s="63">
        <f t="shared" si="3"/>
        <v>19872</v>
      </c>
      <c r="J22" s="63">
        <f t="shared" si="3"/>
        <v>23846.400000000001</v>
      </c>
      <c r="K22" s="63">
        <f t="shared" si="3"/>
        <v>28615.68</v>
      </c>
      <c r="L22" s="63">
        <f t="shared" si="3"/>
        <v>34338.815999999999</v>
      </c>
      <c r="M22" s="63">
        <f t="shared" si="3"/>
        <v>41206.5792</v>
      </c>
      <c r="N22" s="63">
        <f t="shared" si="3"/>
        <v>49447.895040000003</v>
      </c>
      <c r="P22" s="65">
        <f>N22</f>
        <v>49447.895040000003</v>
      </c>
    </row>
    <row r="23" spans="1:16" x14ac:dyDescent="0.25">
      <c r="E23" s="63"/>
      <c r="F23" s="63"/>
      <c r="G23" s="63"/>
      <c r="H23" s="63"/>
      <c r="I23" s="63"/>
      <c r="J23" s="63"/>
      <c r="K23" s="63"/>
      <c r="L23" s="63"/>
      <c r="M23" s="63"/>
      <c r="N23" s="63"/>
      <c r="P23" s="65"/>
    </row>
    <row r="24" spans="1:16" ht="13.8" x14ac:dyDescent="0.3">
      <c r="A24" s="98" t="s">
        <v>131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P24" s="65"/>
    </row>
    <row r="25" spans="1:16" x14ac:dyDescent="0.25">
      <c r="A25" s="36" t="s">
        <v>82</v>
      </c>
      <c r="E25" s="64">
        <v>0</v>
      </c>
      <c r="F25" s="63">
        <f>'Assum. used in model'!$J$53</f>
        <v>3500</v>
      </c>
      <c r="G25" s="47">
        <f>F26*'Assum. used in model'!$J$72</f>
        <v>700</v>
      </c>
      <c r="H25" s="47">
        <f>G26*'Assum. used in model'!$J$72</f>
        <v>840</v>
      </c>
      <c r="I25" s="47">
        <f>H26*'Assum. used in model'!$J$72</f>
        <v>1008</v>
      </c>
      <c r="J25" s="47">
        <f>I26*'Assum. used in model'!$J$72</f>
        <v>1209.6000000000001</v>
      </c>
      <c r="K25" s="47">
        <f>J26*'Assum. used in model'!$J$72</f>
        <v>1451.5200000000002</v>
      </c>
      <c r="L25" s="47">
        <f>K26*'Assum. used in model'!$J$72</f>
        <v>1741.8240000000003</v>
      </c>
      <c r="M25" s="47">
        <f>L26*'Assum. used in model'!$J$72</f>
        <v>2090.1888000000004</v>
      </c>
      <c r="N25" s="47">
        <f>M26*'Assum. used in model'!$J$72</f>
        <v>2508.2265600000005</v>
      </c>
      <c r="P25" s="65">
        <f>SUM(E25:N25)</f>
        <v>15049.359360000002</v>
      </c>
    </row>
    <row r="26" spans="1:16" x14ac:dyDescent="0.25">
      <c r="A26" s="2" t="s">
        <v>73</v>
      </c>
      <c r="E26" s="63">
        <f>E25</f>
        <v>0</v>
      </c>
      <c r="F26" s="63">
        <f>E26+F25</f>
        <v>3500</v>
      </c>
      <c r="G26" s="63">
        <f t="shared" ref="G26:N26" si="4">F26+G25</f>
        <v>4200</v>
      </c>
      <c r="H26" s="63">
        <f t="shared" si="4"/>
        <v>5040</v>
      </c>
      <c r="I26" s="63">
        <f t="shared" si="4"/>
        <v>6048</v>
      </c>
      <c r="J26" s="63">
        <f t="shared" si="4"/>
        <v>7257.6</v>
      </c>
      <c r="K26" s="63">
        <f t="shared" si="4"/>
        <v>8709.1200000000008</v>
      </c>
      <c r="L26" s="63">
        <f t="shared" si="4"/>
        <v>10450.944000000001</v>
      </c>
      <c r="M26" s="63">
        <f t="shared" si="4"/>
        <v>12541.132800000001</v>
      </c>
      <c r="N26" s="63">
        <f t="shared" si="4"/>
        <v>15049.359360000002</v>
      </c>
      <c r="P26" s="65">
        <f>N26</f>
        <v>15049.359360000002</v>
      </c>
    </row>
    <row r="27" spans="1:16" x14ac:dyDescent="0.25">
      <c r="E27" s="63"/>
      <c r="F27" s="63"/>
      <c r="G27" s="63"/>
      <c r="H27" s="63"/>
      <c r="I27" s="63"/>
      <c r="J27" s="63"/>
      <c r="K27" s="63"/>
      <c r="L27" s="63"/>
      <c r="M27" s="63"/>
      <c r="N27" s="63"/>
      <c r="P27" s="65"/>
    </row>
    <row r="28" spans="1:16" ht="13.8" x14ac:dyDescent="0.3">
      <c r="A28" s="98" t="s">
        <v>154</v>
      </c>
      <c r="E28" s="124">
        <f t="shared" ref="E28:N28" si="5">E22+E26</f>
        <v>0</v>
      </c>
      <c r="F28" s="124">
        <f t="shared" si="5"/>
        <v>15000</v>
      </c>
      <c r="G28" s="124">
        <f t="shared" si="5"/>
        <v>18000</v>
      </c>
      <c r="H28" s="124">
        <f t="shared" si="5"/>
        <v>21600</v>
      </c>
      <c r="I28" s="124">
        <f t="shared" si="5"/>
        <v>25920</v>
      </c>
      <c r="J28" s="124">
        <f t="shared" si="5"/>
        <v>31104</v>
      </c>
      <c r="K28" s="124">
        <f t="shared" si="5"/>
        <v>37324.800000000003</v>
      </c>
      <c r="L28" s="124">
        <f t="shared" si="5"/>
        <v>44789.760000000002</v>
      </c>
      <c r="M28" s="124">
        <f t="shared" si="5"/>
        <v>53747.712</v>
      </c>
      <c r="N28" s="124">
        <f t="shared" si="5"/>
        <v>64497.254400000005</v>
      </c>
      <c r="P28" s="65">
        <f>N28</f>
        <v>64497.254400000005</v>
      </c>
    </row>
    <row r="30" spans="1:16" ht="16.2" x14ac:dyDescent="0.35">
      <c r="A30" s="35" t="s">
        <v>24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1:16" ht="6.75" customHeight="1" x14ac:dyDescent="0.25"/>
    <row r="32" spans="1:16" x14ac:dyDescent="0.25">
      <c r="A32" s="32"/>
      <c r="B32" s="36" t="s">
        <v>126</v>
      </c>
      <c r="E32" s="46">
        <f>('Assum. used in model'!$J$9)</f>
        <v>0</v>
      </c>
      <c r="F32" s="46">
        <f>E32*(1+'Assum. used in model'!$H$9)</f>
        <v>0</v>
      </c>
      <c r="G32" s="46">
        <f>F32*(1+'Assum. used in model'!$H$9)</f>
        <v>0</v>
      </c>
      <c r="H32" s="46">
        <f>G32*(1+'Assum. used in model'!$H$9)</f>
        <v>0</v>
      </c>
      <c r="I32" s="46">
        <f>H32*(1+'Assum. used in model'!$H$9)</f>
        <v>0</v>
      </c>
      <c r="J32" s="46">
        <f>I32*(1+'Assum. used in model'!$H$9)</f>
        <v>0</v>
      </c>
      <c r="K32" s="46">
        <f>J32*(1+'Assum. used in model'!$H$9)</f>
        <v>0</v>
      </c>
      <c r="L32" s="46">
        <f>K32*(1+'Assum. used in model'!$H$9)</f>
        <v>0</v>
      </c>
      <c r="M32" s="46">
        <f>L32*(1+'Assum. used in model'!$H$9)</f>
        <v>0</v>
      </c>
      <c r="N32" s="46">
        <f>M32*(1+'Assum. used in model'!$H$9)</f>
        <v>0</v>
      </c>
      <c r="P32" s="46">
        <f>SUM(E32:N32)</f>
        <v>0</v>
      </c>
    </row>
    <row r="33" spans="1:16" x14ac:dyDescent="0.25">
      <c r="A33" s="32"/>
      <c r="B33" s="36" t="s">
        <v>30</v>
      </c>
      <c r="E33" s="46">
        <f>('Assum. used in model'!$J$11*E18)</f>
        <v>0</v>
      </c>
      <c r="F33" s="46">
        <f>('Assum. used in model'!$J$11*F18)</f>
        <v>0</v>
      </c>
      <c r="G33" s="46">
        <f>('Assum. used in model'!$J$11*G18)</f>
        <v>0</v>
      </c>
      <c r="H33" s="46">
        <f>('Assum. used in model'!$J$11*H18)</f>
        <v>0</v>
      </c>
      <c r="I33" s="46">
        <f>('Assum. used in model'!$J$11*I18)</f>
        <v>0</v>
      </c>
      <c r="J33" s="46">
        <f>('Assum. used in model'!$J$11*J18)</f>
        <v>0</v>
      </c>
      <c r="K33" s="46">
        <f>('Assum. used in model'!$J$11*K18)</f>
        <v>0</v>
      </c>
      <c r="L33" s="46">
        <f>('Assum. used in model'!$J$11*L18)</f>
        <v>0</v>
      </c>
      <c r="M33" s="46">
        <f>('Assum. used in model'!$J$11*M18)</f>
        <v>0</v>
      </c>
      <c r="N33" s="46">
        <f>('Assum. used in model'!$J$11*N18)</f>
        <v>0</v>
      </c>
      <c r="P33" s="46">
        <f t="shared" ref="P33:P44" si="6">SUM(E33:N33)</f>
        <v>0</v>
      </c>
    </row>
    <row r="34" spans="1:16" x14ac:dyDescent="0.25">
      <c r="A34" s="32"/>
      <c r="B34" s="39" t="s">
        <v>31</v>
      </c>
      <c r="E34" s="46">
        <f>('Assum. used in model'!$J$17*E18)</f>
        <v>0</v>
      </c>
      <c r="F34" s="46">
        <f>('Assum. used in model'!$J$17*F18)</f>
        <v>0</v>
      </c>
      <c r="G34" s="46">
        <f>('Assum. used in model'!$J$17*G18)</f>
        <v>0</v>
      </c>
      <c r="H34" s="46">
        <f>('Assum. used in model'!$J$17*H18)</f>
        <v>0</v>
      </c>
      <c r="I34" s="46">
        <f>('Assum. used in model'!$J$17*I18)</f>
        <v>0</v>
      </c>
      <c r="J34" s="46">
        <f>('Assum. used in model'!$J$17*J18)</f>
        <v>0</v>
      </c>
      <c r="K34" s="46">
        <f>('Assum. used in model'!$J$17*K18)</f>
        <v>0</v>
      </c>
      <c r="L34" s="46">
        <f>('Assum. used in model'!$J$17*L18)</f>
        <v>0</v>
      </c>
      <c r="M34" s="46">
        <f>('Assum. used in model'!$J$17*M18)</f>
        <v>0</v>
      </c>
      <c r="N34" s="46">
        <f>('Assum. used in model'!$J$17*N18)</f>
        <v>0</v>
      </c>
      <c r="P34" s="46">
        <f t="shared" si="6"/>
        <v>0</v>
      </c>
    </row>
    <row r="35" spans="1:16" x14ac:dyDescent="0.25">
      <c r="A35" s="32"/>
      <c r="B35" s="36" t="s">
        <v>26</v>
      </c>
      <c r="E35" s="46">
        <f>'Assum. used in model'!$J$16</f>
        <v>0</v>
      </c>
      <c r="F35" s="46">
        <f>E35*(1+'Assum. used in model'!$H$16)</f>
        <v>0</v>
      </c>
      <c r="G35" s="46">
        <f>F35*(1+'Assum. used in model'!$H$16)</f>
        <v>0</v>
      </c>
      <c r="H35" s="46">
        <f>G35*(1+'Assum. used in model'!$H$16)</f>
        <v>0</v>
      </c>
      <c r="I35" s="46">
        <f>H35*(1+'Assum. used in model'!$H$16)</f>
        <v>0</v>
      </c>
      <c r="J35" s="46">
        <f>I35*(1+'Assum. used in model'!$H$16)</f>
        <v>0</v>
      </c>
      <c r="K35" s="46">
        <f>J35*(1+'Assum. used in model'!$H$16)</f>
        <v>0</v>
      </c>
      <c r="L35" s="46">
        <f>K35*(1+'Assum. used in model'!$H$16)</f>
        <v>0</v>
      </c>
      <c r="M35" s="46">
        <f>L35*(1+'Assum. used in model'!$H$16)</f>
        <v>0</v>
      </c>
      <c r="N35" s="46">
        <f>M35*(1+'Assum. used in model'!$H$16)</f>
        <v>0</v>
      </c>
      <c r="P35" s="46">
        <f t="shared" si="6"/>
        <v>0</v>
      </c>
    </row>
    <row r="36" spans="1:16" x14ac:dyDescent="0.25">
      <c r="A36" s="32"/>
      <c r="B36" s="2" t="s">
        <v>15</v>
      </c>
      <c r="E36" s="46">
        <f>'Assum. used in model'!$J$14</f>
        <v>0</v>
      </c>
      <c r="F36" s="46">
        <f>E36*(1+'Assum. used in model'!$H$14)</f>
        <v>0</v>
      </c>
      <c r="G36" s="46">
        <f>F36*(1+'Assum. used in model'!$H$14)</f>
        <v>0</v>
      </c>
      <c r="H36" s="46">
        <f>G36*(1+'Assum. used in model'!$H$14)</f>
        <v>0</v>
      </c>
      <c r="I36" s="46">
        <f>H36*(1+'Assum. used in model'!$H$14)</f>
        <v>0</v>
      </c>
      <c r="J36" s="46">
        <f>I36*(1+'Assum. used in model'!$H$14)</f>
        <v>0</v>
      </c>
      <c r="K36" s="46">
        <f>J36*(1+'Assum. used in model'!$H$14)</f>
        <v>0</v>
      </c>
      <c r="L36" s="46">
        <f>K36*(1+'Assum. used in model'!$H$14)</f>
        <v>0</v>
      </c>
      <c r="M36" s="46">
        <f>L36*(1+'Assum. used in model'!$H$14)</f>
        <v>0</v>
      </c>
      <c r="N36" s="46">
        <f>M36*(1+'Assum. used in model'!$H$14)</f>
        <v>0</v>
      </c>
      <c r="P36" s="46">
        <f t="shared" si="6"/>
        <v>0</v>
      </c>
    </row>
    <row r="37" spans="1:16" x14ac:dyDescent="0.25">
      <c r="A37" s="32"/>
      <c r="B37" s="2" t="s">
        <v>27</v>
      </c>
      <c r="E37" s="46">
        <f>'Assum. used in model'!$J$13</f>
        <v>0</v>
      </c>
      <c r="F37" s="46">
        <f>E37*(1+'Assum. used in model'!$H$13)</f>
        <v>0</v>
      </c>
      <c r="G37" s="46">
        <f>F37*(1+'Assum. used in model'!$H$13)</f>
        <v>0</v>
      </c>
      <c r="H37" s="46">
        <f>G37*(1+'Assum. used in model'!$H$13)</f>
        <v>0</v>
      </c>
      <c r="I37" s="46">
        <f>H37*(1+'Assum. used in model'!$H$13)</f>
        <v>0</v>
      </c>
      <c r="J37" s="46">
        <f>I37*(1+'Assum. used in model'!$H$13)</f>
        <v>0</v>
      </c>
      <c r="K37" s="46">
        <f>J37*(1+'Assum. used in model'!$H$13)</f>
        <v>0</v>
      </c>
      <c r="L37" s="46">
        <f>K37*(1+'Assum. used in model'!$H$13)</f>
        <v>0</v>
      </c>
      <c r="M37" s="46">
        <f>L37*(1+'Assum. used in model'!$H$13)</f>
        <v>0</v>
      </c>
      <c r="N37" s="46">
        <f>M37*(1+'Assum. used in model'!$H$13)</f>
        <v>0</v>
      </c>
      <c r="P37" s="46">
        <f t="shared" si="6"/>
        <v>0</v>
      </c>
    </row>
    <row r="38" spans="1:16" x14ac:dyDescent="0.25">
      <c r="A38" s="32"/>
      <c r="B38" s="36" t="s">
        <v>117</v>
      </c>
      <c r="E38" s="46">
        <f>'Assum. used in model'!$J$15</f>
        <v>0</v>
      </c>
      <c r="F38" s="46">
        <f>E38*(1+'Assum. used in model'!$H$15)</f>
        <v>0</v>
      </c>
      <c r="G38" s="46">
        <f>F38*(1+'Assum. used in model'!$H$15)</f>
        <v>0</v>
      </c>
      <c r="H38" s="46">
        <f>G38*(1+'Assum. used in model'!$H$15)</f>
        <v>0</v>
      </c>
      <c r="I38" s="46">
        <f>H38*(1+'Assum. used in model'!$H$15)</f>
        <v>0</v>
      </c>
      <c r="J38" s="46">
        <f>I38*(1+'Assum. used in model'!$H$15)</f>
        <v>0</v>
      </c>
      <c r="K38" s="46">
        <f>J38*(1+'Assum. used in model'!$H$15)</f>
        <v>0</v>
      </c>
      <c r="L38" s="46">
        <f>K38*(1+'Assum. used in model'!$H$15)</f>
        <v>0</v>
      </c>
      <c r="M38" s="46">
        <f>L38*(1+'Assum. used in model'!$H$15)</f>
        <v>0</v>
      </c>
      <c r="N38" s="46">
        <f>M38*(1+'Assum. used in model'!$H$15)</f>
        <v>0</v>
      </c>
      <c r="P38" s="46">
        <f>SUM(E38:M38)</f>
        <v>0</v>
      </c>
    </row>
    <row r="39" spans="1:16" x14ac:dyDescent="0.25">
      <c r="A39" s="32"/>
      <c r="B39" s="2" t="s">
        <v>85</v>
      </c>
      <c r="E39" s="46">
        <f>'Assum. used in model'!$J$18</f>
        <v>0</v>
      </c>
      <c r="F39" s="46">
        <f>E39*(1+'Assum. used in model'!$H$18)</f>
        <v>0</v>
      </c>
      <c r="G39" s="46">
        <f>F39*(1+'Assum. used in model'!$H$18)</f>
        <v>0</v>
      </c>
      <c r="H39" s="46">
        <f>G39*(1+'Assum. used in model'!$H$18)</f>
        <v>0</v>
      </c>
      <c r="I39" s="46">
        <f>H39*(1+'Assum. used in model'!$H$18)</f>
        <v>0</v>
      </c>
      <c r="J39" s="46">
        <f>I39*(1+'Assum. used in model'!$H$18)</f>
        <v>0</v>
      </c>
      <c r="K39" s="46">
        <f>J39*(1+'Assum. used in model'!$H$18)</f>
        <v>0</v>
      </c>
      <c r="L39" s="46">
        <f>K39*(1+'Assum. used in model'!$H$18)</f>
        <v>0</v>
      </c>
      <c r="M39" s="46">
        <f>L39*(1+'Assum. used in model'!$H$18)</f>
        <v>0</v>
      </c>
      <c r="N39" s="46">
        <f>M39*(1+'Assum. used in model'!$H$18)</f>
        <v>0</v>
      </c>
      <c r="P39" s="46">
        <f t="shared" si="6"/>
        <v>0</v>
      </c>
    </row>
    <row r="40" spans="1:16" x14ac:dyDescent="0.25">
      <c r="A40" s="32"/>
      <c r="B40" s="2" t="s">
        <v>105</v>
      </c>
      <c r="E40" s="46">
        <f>'Assum. used in model'!$J$19</f>
        <v>0</v>
      </c>
      <c r="F40" s="46">
        <f>E40*(1+'Assum. used in model'!$H$19)</f>
        <v>0</v>
      </c>
      <c r="G40" s="46">
        <f>F40*(1+'Assum. used in model'!$H$19)</f>
        <v>0</v>
      </c>
      <c r="H40" s="46">
        <f>G40*(1+'Assum. used in model'!$H$19)</f>
        <v>0</v>
      </c>
      <c r="I40" s="46">
        <f>H40*(1+'Assum. used in model'!$H$19)</f>
        <v>0</v>
      </c>
      <c r="J40" s="46">
        <f>I40*(1+'Assum. used in model'!$H$19)</f>
        <v>0</v>
      </c>
      <c r="K40" s="46">
        <f>J40*(1+'Assum. used in model'!$H$19)</f>
        <v>0</v>
      </c>
      <c r="L40" s="46">
        <f>K40*(1+'Assum. used in model'!$H$19)</f>
        <v>0</v>
      </c>
      <c r="M40" s="46">
        <f>L40*(1+'Assum. used in model'!$H$19)</f>
        <v>0</v>
      </c>
      <c r="N40" s="46">
        <f>M40*(1+'Assum. used in model'!$H$19)</f>
        <v>0</v>
      </c>
      <c r="P40" s="46">
        <f t="shared" si="6"/>
        <v>0</v>
      </c>
    </row>
    <row r="41" spans="1:16" x14ac:dyDescent="0.25">
      <c r="A41" s="32"/>
      <c r="B41" s="36" t="s">
        <v>114</v>
      </c>
      <c r="E41" s="46">
        <f>'Assum. used in model'!$J$20</f>
        <v>0</v>
      </c>
      <c r="F41" s="46">
        <f>E41*(1+'Assum. used in model'!$H$20)</f>
        <v>0</v>
      </c>
      <c r="G41" s="46">
        <f>F41*(1+'Assum. used in model'!$H$20)</f>
        <v>0</v>
      </c>
      <c r="H41" s="46">
        <f>G41*(1+'Assum. used in model'!$H$20)</f>
        <v>0</v>
      </c>
      <c r="I41" s="46">
        <f>H41*(1+'Assum. used in model'!$H$20)</f>
        <v>0</v>
      </c>
      <c r="J41" s="46">
        <f>I41*(1+'Assum. used in model'!$H$20)</f>
        <v>0</v>
      </c>
      <c r="K41" s="46">
        <f>J41*(1+'Assum. used in model'!$H$20)</f>
        <v>0</v>
      </c>
      <c r="L41" s="46">
        <f>K41*(1+'Assum. used in model'!$H$20)</f>
        <v>0</v>
      </c>
      <c r="M41" s="46">
        <f>L41*(1+'Assum. used in model'!$H$20)</f>
        <v>0</v>
      </c>
      <c r="N41" s="46">
        <f>M41*(1+'Assum. used in model'!$H$20)</f>
        <v>0</v>
      </c>
      <c r="P41" s="46">
        <f t="shared" si="6"/>
        <v>0</v>
      </c>
    </row>
    <row r="42" spans="1:16" s="5" customFormat="1" x14ac:dyDescent="0.25">
      <c r="A42" s="143"/>
      <c r="B42" s="5" t="s">
        <v>175</v>
      </c>
      <c r="E42" s="144">
        <v>0</v>
      </c>
      <c r="F42" s="75">
        <f>'Employee Reimbur.'!E31</f>
        <v>146813.65958591018</v>
      </c>
      <c r="G42" s="75">
        <f>'Employee Reimbur.'!F31</f>
        <v>237326.19157844488</v>
      </c>
      <c r="H42" s="75">
        <f>'Employee Reimbur.'!G31</f>
        <v>272632.60292725463</v>
      </c>
      <c r="I42" s="75">
        <f>'Employee Reimbur.'!H31</f>
        <v>314654.89353073371</v>
      </c>
      <c r="J42" s="75">
        <f>'Employee Reimbur.'!I31</f>
        <v>365863.17818193143</v>
      </c>
      <c r="K42" s="75">
        <f>'Employee Reimbur.'!J31</f>
        <v>428062.55158180022</v>
      </c>
      <c r="L42" s="75">
        <f>'Employee Reimbur.'!K31</f>
        <v>503403.59083017829</v>
      </c>
      <c r="M42" s="75">
        <f>'Employee Reimbur.'!L31</f>
        <v>594469.75066438026</v>
      </c>
      <c r="N42" s="75">
        <f>'Employee Reimbur.'!M31</f>
        <v>704364.04236695135</v>
      </c>
      <c r="P42" s="46">
        <f t="shared" si="6"/>
        <v>3567590.4612475848</v>
      </c>
    </row>
    <row r="43" spans="1:16" x14ac:dyDescent="0.25">
      <c r="A43" s="32"/>
      <c r="B43" s="38" t="s">
        <v>28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P43" s="62"/>
    </row>
    <row r="44" spans="1:16" ht="13.8" x14ac:dyDescent="0.3">
      <c r="B44" s="60" t="s">
        <v>71</v>
      </c>
      <c r="C44" s="33"/>
      <c r="D44" s="33"/>
      <c r="E44" s="61">
        <f>SUM(E32:E43)</f>
        <v>0</v>
      </c>
      <c r="F44" s="61">
        <f t="shared" ref="F44:N44" si="7">SUM(F32:F43)</f>
        <v>146813.65958591018</v>
      </c>
      <c r="G44" s="61">
        <f t="shared" si="7"/>
        <v>237326.19157844488</v>
      </c>
      <c r="H44" s="61">
        <f t="shared" si="7"/>
        <v>272632.60292725463</v>
      </c>
      <c r="I44" s="61">
        <f t="shared" si="7"/>
        <v>314654.89353073371</v>
      </c>
      <c r="J44" s="61">
        <f t="shared" si="7"/>
        <v>365863.17818193143</v>
      </c>
      <c r="K44" s="61">
        <f t="shared" si="7"/>
        <v>428062.55158180022</v>
      </c>
      <c r="L44" s="61">
        <f t="shared" si="7"/>
        <v>503403.59083017829</v>
      </c>
      <c r="M44" s="61">
        <f t="shared" si="7"/>
        <v>594469.75066438026</v>
      </c>
      <c r="N44" s="61">
        <f t="shared" si="7"/>
        <v>704364.04236695135</v>
      </c>
      <c r="P44" s="61">
        <f t="shared" si="6"/>
        <v>3567590.4612475848</v>
      </c>
    </row>
    <row r="45" spans="1:16" x14ac:dyDescent="0.25"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6" x14ac:dyDescent="0.25">
      <c r="E46" s="42"/>
      <c r="F46" s="57"/>
      <c r="G46" s="57"/>
      <c r="H46" s="57"/>
      <c r="I46" s="42"/>
      <c r="J46" s="42"/>
      <c r="K46" s="42"/>
      <c r="L46" s="42"/>
      <c r="M46" s="42"/>
      <c r="N46" s="42"/>
    </row>
    <row r="47" spans="1:16" ht="16.2" x14ac:dyDescent="0.35">
      <c r="A47" s="35" t="s">
        <v>29</v>
      </c>
      <c r="E47" s="42"/>
      <c r="F47" s="145"/>
      <c r="G47" s="145"/>
      <c r="H47" s="145"/>
      <c r="I47" s="145"/>
      <c r="J47" s="42"/>
      <c r="K47" s="42"/>
      <c r="L47" s="42"/>
      <c r="M47" s="42"/>
      <c r="N47" s="42"/>
    </row>
    <row r="48" spans="1:16" ht="6.75" customHeight="1" x14ac:dyDescent="0.25"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6" x14ac:dyDescent="0.25">
      <c r="B49" s="36" t="s">
        <v>74</v>
      </c>
      <c r="E49" s="46">
        <f>'Assum. used in model'!$J$24*E18</f>
        <v>0</v>
      </c>
      <c r="F49" s="46">
        <f>'Assum. used in model'!$J$24*F18*(1+'Assum. used in model'!$H$24)</f>
        <v>6300000</v>
      </c>
      <c r="G49" s="46">
        <f>'Assum. used in model'!$J$24*G18*(1+'Assum. used in model'!$H$24)</f>
        <v>7560000</v>
      </c>
      <c r="H49" s="46">
        <f>'Assum. used in model'!$J$24*H18*(1+'Assum. used in model'!$H$24)</f>
        <v>9072000</v>
      </c>
      <c r="I49" s="46">
        <f>'Assum. used in model'!$J$24*I18*(1+'Assum. used in model'!$H$24)</f>
        <v>10886400</v>
      </c>
      <c r="J49" s="46">
        <f>'Assum. used in model'!$J$24*J18*(1+'Assum. used in model'!$H$24)</f>
        <v>13063680</v>
      </c>
      <c r="K49" s="46">
        <f>'Assum. used in model'!$J$24*K18*(1+'Assum. used in model'!$H$24)</f>
        <v>15676416.000000002</v>
      </c>
      <c r="L49" s="46">
        <f>'Assum. used in model'!$J$24*L18*(1+'Assum. used in model'!$H$24)</f>
        <v>18811699.199999999</v>
      </c>
      <c r="M49" s="46">
        <f>'Assum. used in model'!$J$24*M18*(1+'Assum. used in model'!$H$24)</f>
        <v>22574039.039999999</v>
      </c>
      <c r="N49" s="46">
        <f>'Assum. used in model'!$J$24*N18*(1+'Assum. used in model'!$H$24)</f>
        <v>27088846.848000001</v>
      </c>
      <c r="P49" s="46">
        <f t="shared" ref="P49:P63" si="8">SUM(E49:N49)</f>
        <v>131033081.08800001</v>
      </c>
    </row>
    <row r="50" spans="1:16" s="5" customFormat="1" x14ac:dyDescent="0.25">
      <c r="B50" s="74" t="s">
        <v>32</v>
      </c>
      <c r="E50" s="75">
        <f>'Assum. used in model'!$J$26*E18</f>
        <v>0</v>
      </c>
      <c r="F50" s="75">
        <f>'Assum. used in model'!$J$26*F18</f>
        <v>0</v>
      </c>
      <c r="G50" s="75">
        <f>'Assum. used in model'!$J$26*G18</f>
        <v>0</v>
      </c>
      <c r="H50" s="75">
        <f>'Assum. used in model'!$J$26*H18</f>
        <v>0</v>
      </c>
      <c r="I50" s="75">
        <f>'Assum. used in model'!$J$26*I18</f>
        <v>0</v>
      </c>
      <c r="J50" s="75">
        <f>'Assum. used in model'!$J$26*J18</f>
        <v>0</v>
      </c>
      <c r="K50" s="75">
        <f>'Assum. used in model'!$J$26*K18</f>
        <v>0</v>
      </c>
      <c r="L50" s="75">
        <f>'Assum. used in model'!$J$26*L18</f>
        <v>0</v>
      </c>
      <c r="M50" s="75">
        <f>'Assum. used in model'!$J$26*M18</f>
        <v>0</v>
      </c>
      <c r="N50" s="75">
        <f>'Assum. used in model'!$J$26*N18</f>
        <v>0</v>
      </c>
      <c r="P50" s="75">
        <f t="shared" si="8"/>
        <v>0</v>
      </c>
    </row>
    <row r="51" spans="1:16" s="5" customFormat="1" x14ac:dyDescent="0.25">
      <c r="B51" s="36" t="s">
        <v>163</v>
      </c>
      <c r="E51" s="75">
        <f>('Assum. used in model'!$J$27*E22)*'Assum. used in model'!$J$39</f>
        <v>0</v>
      </c>
      <c r="F51" s="75">
        <f>('Assum. used in model'!$J$27*F22)*'Assum. used in model'!$J$39</f>
        <v>621000</v>
      </c>
      <c r="G51" s="75">
        <f>('Assum. used in model'!$J$31*G22)*'Assum. used in model'!$J$42</f>
        <v>1324800</v>
      </c>
      <c r="H51" s="75">
        <f>('Assum. used in model'!$J$35*H22)*'Assum. used in model'!$J$45</f>
        <v>2086560</v>
      </c>
      <c r="I51" s="75">
        <f>('Assum. used in model'!$J$35*I22)*'Assum. used in model'!$J$45</f>
        <v>2503872</v>
      </c>
      <c r="J51" s="75">
        <f>('Assum. used in model'!$J$35*J22)*'Assum. used in model'!$J$45</f>
        <v>3004646.4</v>
      </c>
      <c r="K51" s="75">
        <f>('Assum. used in model'!$J$35*K22)*'Assum. used in model'!$J$45</f>
        <v>3605575.6799999997</v>
      </c>
      <c r="L51" s="75">
        <f>('Assum. used in model'!$J$35*L22)*'Assum. used in model'!$J$45</f>
        <v>4326690.8159999996</v>
      </c>
      <c r="M51" s="75">
        <f>('Assum. used in model'!$J$35*M22)*'Assum. used in model'!$J$45</f>
        <v>5192028.9791999999</v>
      </c>
      <c r="N51" s="75">
        <f>('Assum. used in model'!$J$35*N22)*'Assum. used in model'!$J$45</f>
        <v>6230434.7750400007</v>
      </c>
      <c r="P51" s="46">
        <f t="shared" si="8"/>
        <v>28895608.650239997</v>
      </c>
    </row>
    <row r="52" spans="1:16" s="5" customFormat="1" x14ac:dyDescent="0.25">
      <c r="B52" s="36" t="s">
        <v>164</v>
      </c>
      <c r="E52" s="75">
        <f>('Assum. used in model'!$J$28*E22)*'Assum. used in model'!$J$42</f>
        <v>0</v>
      </c>
      <c r="F52" s="75">
        <f>('Assum. used in model'!$J$28*F22)*'Assum. used in model'!$J$40</f>
        <v>1656000</v>
      </c>
      <c r="G52" s="75">
        <f>('Assum. used in model'!$J$32*G22)*'Assum. used in model'!$J$43</f>
        <v>1545600</v>
      </c>
      <c r="H52" s="75">
        <f>('Assum. used in model'!$J$36*H22)*'Assum. used in model'!$J$46</f>
        <v>1391039.9999999998</v>
      </c>
      <c r="I52" s="75">
        <f>('Assum. used in model'!$J$36*I22)*'Assum. used in model'!$J$46</f>
        <v>1669247.9999999998</v>
      </c>
      <c r="J52" s="75">
        <f>('Assum. used in model'!$J$36*J22)*'Assum. used in model'!$J$46</f>
        <v>2003097.5999999999</v>
      </c>
      <c r="K52" s="75">
        <f>('Assum. used in model'!$J$36*K22)*'Assum. used in model'!$J$46</f>
        <v>2403717.1199999996</v>
      </c>
      <c r="L52" s="75">
        <f>('Assum. used in model'!$J$36*L22)*'Assum. used in model'!$J$46</f>
        <v>2884460.5439999998</v>
      </c>
      <c r="M52" s="75">
        <f>('Assum. used in model'!$J$36*M22)*'Assum. used in model'!$J$46</f>
        <v>3461352.6527999998</v>
      </c>
      <c r="N52" s="75">
        <f>('Assum. used in model'!$J$36*N22)*'Assum. used in model'!$J$46</f>
        <v>4153623.1833600001</v>
      </c>
      <c r="P52" s="46">
        <f t="shared" si="8"/>
        <v>21168139.100159999</v>
      </c>
    </row>
    <row r="53" spans="1:16" s="5" customFormat="1" x14ac:dyDescent="0.25">
      <c r="B53" s="36" t="s">
        <v>188</v>
      </c>
      <c r="E53" s="75"/>
      <c r="F53" s="75">
        <f>('Assum. used in model'!$J$29*F22)*'Assum. used in model'!$J$41</f>
        <v>3105000</v>
      </c>
      <c r="G53" s="75">
        <f>('Assum. used in model'!$J$33*G22)*'Assum. used in model'!$J$44</f>
        <v>2870400</v>
      </c>
      <c r="H53" s="75">
        <f>('Assum. used in model'!$J$37*H22)*'Assum. used in model'!$J$47</f>
        <v>2550239.9999999995</v>
      </c>
      <c r="I53" s="75">
        <f>('Assum. used in model'!$J$37*I22)*'Assum. used in model'!$J$47</f>
        <v>3060287.9999999995</v>
      </c>
      <c r="J53" s="75">
        <f>('Assum. used in model'!$J$37*J22)*'Assum. used in model'!$J$47</f>
        <v>3672345.6</v>
      </c>
      <c r="K53" s="75">
        <f>('Assum. used in model'!$J$37*K22)*'Assum. used in model'!$J$47</f>
        <v>4406814.7199999997</v>
      </c>
      <c r="L53" s="75">
        <f>('Assum. used in model'!$J$37*L22)*'Assum. used in model'!$J$47</f>
        <v>5288177.6639999999</v>
      </c>
      <c r="M53" s="75">
        <f>('Assum. used in model'!$J$37*M22)*'Assum. used in model'!$J$47</f>
        <v>6345813.1967999991</v>
      </c>
      <c r="N53" s="75">
        <f>('Assum. used in model'!$J$37*N22)*'Assum. used in model'!$J$47</f>
        <v>7614975.8361600004</v>
      </c>
      <c r="P53" s="46"/>
    </row>
    <row r="54" spans="1:16" x14ac:dyDescent="0.25">
      <c r="B54" s="36" t="s">
        <v>165</v>
      </c>
      <c r="E54" s="46">
        <f>(('Assum. used in model'!$J$30*E22)+E26)*'Assum. used in model'!$J$48</f>
        <v>0</v>
      </c>
      <c r="F54" s="46">
        <f>(('Assum. used in model'!$J$30*F22)+F26)*'Assum. used in model'!$J$48</f>
        <v>834000</v>
      </c>
      <c r="G54" s="46">
        <f>(('Assum. used in model'!$J$34*G22)+G26)*'Assum. used in model'!$J$48</f>
        <v>945600</v>
      </c>
      <c r="H54" s="46">
        <f>(('Assum. used in model'!$J$38*H22)+H26)*'Assum. used in model'!$J$48</f>
        <v>1068480</v>
      </c>
      <c r="I54" s="46">
        <f>(('Assum. used in model'!$J$38*I22)+I26)*'Assum. used in model'!$J$48</f>
        <v>1282176</v>
      </c>
      <c r="J54" s="46">
        <f>(('Assum. used in model'!$J$38*J22)+J26)*'Assum. used in model'!$J$48</f>
        <v>1538611.2</v>
      </c>
      <c r="K54" s="46">
        <f>(('Assum. used in model'!$J$38*K22)+K26)*'Assum. used in model'!$J$48</f>
        <v>1846333.4400000002</v>
      </c>
      <c r="L54" s="46">
        <f>(('Assum. used in model'!$J$38*L22)+L26)*'Assum. used in model'!$J$48</f>
        <v>2215600.128</v>
      </c>
      <c r="M54" s="46">
        <f>(('Assum. used in model'!$J$38*M22)+M26)*'Assum. used in model'!$J$48</f>
        <v>2658720.1535999998</v>
      </c>
      <c r="N54" s="46">
        <f>(('Assum. used in model'!$J$38*N22)+N26)*'Assum. used in model'!$J$48</f>
        <v>3190464.18432</v>
      </c>
      <c r="P54" s="46">
        <f t="shared" si="8"/>
        <v>15579985.105920002</v>
      </c>
    </row>
    <row r="55" spans="1:16" x14ac:dyDescent="0.25">
      <c r="B55" s="122" t="s">
        <v>146</v>
      </c>
      <c r="E55" s="46">
        <f>'Assum. used in model'!$J$49*(E21+E25)</f>
        <v>0</v>
      </c>
      <c r="F55" s="46">
        <f>'Assum. used in model'!$J$49*(F21+F25)</f>
        <v>2025000</v>
      </c>
      <c r="G55" s="46">
        <f>'Assum. used in model'!$J$49*(G21+G25)</f>
        <v>405000</v>
      </c>
      <c r="H55" s="46">
        <f>'Assum. used in model'!$J$49*(H21+H25)</f>
        <v>486000</v>
      </c>
      <c r="I55" s="46">
        <f>'Assum. used in model'!$J$49*(I21+I25)</f>
        <v>583200</v>
      </c>
      <c r="J55" s="46">
        <f>'Assum. used in model'!$J$49*(J21+J25)</f>
        <v>699840</v>
      </c>
      <c r="K55" s="46">
        <f>'Assum. used in model'!$J$49*(K21+K25)</f>
        <v>839808.00000000012</v>
      </c>
      <c r="L55" s="46">
        <f>'Assum. used in model'!$J$49*(L21+L25)</f>
        <v>1007769.6000000001</v>
      </c>
      <c r="M55" s="46">
        <f>'Assum. used in model'!$J$49*(M21+M25)</f>
        <v>1209323.5200000003</v>
      </c>
      <c r="N55" s="46">
        <f>'Assum. used in model'!$J$49*(N21+N25)</f>
        <v>1451188.2240000004</v>
      </c>
      <c r="P55" s="46">
        <f t="shared" si="8"/>
        <v>8707129.3440000005</v>
      </c>
    </row>
    <row r="56" spans="1:16" x14ac:dyDescent="0.25">
      <c r="B56" s="36" t="s">
        <v>110</v>
      </c>
      <c r="E56" s="67">
        <v>0</v>
      </c>
      <c r="F56" s="46">
        <f>'Assum. used in model'!$J$54*(1+'Assum. used in model'!$H$54)</f>
        <v>-630000</v>
      </c>
      <c r="G56" s="46">
        <f>F56*(1+'Assum. used in model'!$H$54)</f>
        <v>-630000</v>
      </c>
      <c r="H56" s="46">
        <f>G56*(1+'Assum. used in model'!$H$54)</f>
        <v>-630000</v>
      </c>
      <c r="I56" s="46">
        <f>H56*(1+'Assum. used in model'!$H$54)</f>
        <v>-630000</v>
      </c>
      <c r="J56" s="46">
        <f>I56*(1+'Assum. used in model'!$H$54)</f>
        <v>-630000</v>
      </c>
      <c r="K56" s="46">
        <f>J56*(1+'Assum. used in model'!$H$54)</f>
        <v>-630000</v>
      </c>
      <c r="L56" s="46">
        <f>K56*(1+'Assum. used in model'!$H$54)</f>
        <v>-630000</v>
      </c>
      <c r="M56" s="46">
        <f>L56*(1+'Assum. used in model'!$H$54)</f>
        <v>-630000</v>
      </c>
      <c r="N56" s="46">
        <f>M56*(1+'Assum. used in model'!$H$54)</f>
        <v>-630000</v>
      </c>
      <c r="P56" s="46">
        <f t="shared" si="8"/>
        <v>-5670000</v>
      </c>
    </row>
    <row r="57" spans="1:16" x14ac:dyDescent="0.25">
      <c r="B57" s="36" t="s">
        <v>33</v>
      </c>
      <c r="E57" s="46">
        <f>'Assum. used in model'!$J$55*(E11+E15)</f>
        <v>0</v>
      </c>
      <c r="F57" s="46">
        <f>'Assum. used in model'!$J$55*(F11+F15)</f>
        <v>0</v>
      </c>
      <c r="G57" s="46">
        <f>'Assum. used in model'!$J$55*(G11+G15)</f>
        <v>0</v>
      </c>
      <c r="H57" s="46">
        <f>'Assum. used in model'!$J$55*(H11+H15)</f>
        <v>0</v>
      </c>
      <c r="I57" s="46">
        <f>'Assum. used in model'!$J$55*(I11+I15)</f>
        <v>0</v>
      </c>
      <c r="J57" s="46">
        <f>'Assum. used in model'!$J$55*(J11+J15)</f>
        <v>0</v>
      </c>
      <c r="K57" s="46">
        <f>'Assum. used in model'!$J$55*(K11+K15)</f>
        <v>0</v>
      </c>
      <c r="L57" s="46">
        <f>'Assum. used in model'!$J$55*(L11+L15)</f>
        <v>0</v>
      </c>
      <c r="M57" s="46">
        <f>'Assum. used in model'!$J$55*(M11+M15)</f>
        <v>0</v>
      </c>
      <c r="N57" s="46">
        <f>'Assum. used in model'!$J$55*(N11+N15)</f>
        <v>0</v>
      </c>
      <c r="P57" s="46">
        <f t="shared" si="8"/>
        <v>0</v>
      </c>
    </row>
    <row r="58" spans="1:16" x14ac:dyDescent="0.25">
      <c r="B58" s="36" t="s">
        <v>144</v>
      </c>
      <c r="E58" s="67">
        <v>0</v>
      </c>
      <c r="F58" s="46">
        <f>'Assum. used in model'!$J$57</f>
        <v>500000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P58" s="46">
        <f>SUM(F58:N58)</f>
        <v>500000</v>
      </c>
    </row>
    <row r="59" spans="1:16" x14ac:dyDescent="0.25">
      <c r="B59" s="36" t="s">
        <v>145</v>
      </c>
      <c r="E59" s="67">
        <v>0</v>
      </c>
      <c r="F59" s="46">
        <f>'Assum. used in model'!$J$58</f>
        <v>500000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P59" s="46">
        <f t="shared" si="8"/>
        <v>500000</v>
      </c>
    </row>
    <row r="60" spans="1:16" x14ac:dyDescent="0.25">
      <c r="B60" s="111" t="s">
        <v>147</v>
      </c>
      <c r="E60" s="67">
        <v>0</v>
      </c>
      <c r="F60" s="46">
        <f>'Assum. used in model'!$J$61*(1+'Assum. used in model'!$H$61)</f>
        <v>432000</v>
      </c>
      <c r="G60" s="46">
        <f>F60*(1+'Assum. used in model'!$H$61)</f>
        <v>432000</v>
      </c>
      <c r="H60" s="46">
        <f>G60*(1+'Assum. used in model'!$H$61)</f>
        <v>432000</v>
      </c>
      <c r="I60" s="46">
        <f>H60*(1+'Assum. used in model'!$H$61)</f>
        <v>432000</v>
      </c>
      <c r="J60" s="46">
        <f>I60*(1+'Assum. used in model'!$H$61)</f>
        <v>432000</v>
      </c>
      <c r="K60" s="46">
        <f>J60*(1+'Assum. used in model'!$H$61)</f>
        <v>432000</v>
      </c>
      <c r="L60" s="46">
        <f>K60*(1+'Assum. used in model'!$H$61)</f>
        <v>432000</v>
      </c>
      <c r="M60" s="46">
        <f>L60*(1+'Assum. used in model'!$H$61)</f>
        <v>432000</v>
      </c>
      <c r="N60" s="46">
        <f>M60*(1+'Assum. used in model'!$H$61)</f>
        <v>432000</v>
      </c>
      <c r="P60" s="46">
        <f t="shared" si="8"/>
        <v>3888000</v>
      </c>
    </row>
    <row r="61" spans="1:16" x14ac:dyDescent="0.25">
      <c r="B61" s="111" t="s">
        <v>148</v>
      </c>
      <c r="E61" s="67">
        <v>0</v>
      </c>
      <c r="F61" s="46">
        <f>'Assum. used in model'!$J$62</f>
        <v>81188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P61" s="46">
        <f>SUM(F61:N61)</f>
        <v>81188</v>
      </c>
    </row>
    <row r="62" spans="1:16" x14ac:dyDescent="0.25">
      <c r="B62" s="36" t="s">
        <v>127</v>
      </c>
      <c r="E62" s="67">
        <v>0</v>
      </c>
      <c r="F62" s="46">
        <f>'Assum. used in model'!$J$63*(1+'Assum. used in model'!$H$63)</f>
        <v>0</v>
      </c>
      <c r="G62" s="46">
        <f>F62*(1+'Assum. used in model'!$H$63)</f>
        <v>0</v>
      </c>
      <c r="H62" s="46">
        <f>G62*(1+'Assum. used in model'!$H$63)</f>
        <v>0</v>
      </c>
      <c r="I62" s="46">
        <f>H62*(1+'Assum. used in model'!$H$63)</f>
        <v>0</v>
      </c>
      <c r="J62" s="46">
        <f>I62*(1+'Assum. used in model'!$H$63)</f>
        <v>0</v>
      </c>
      <c r="K62" s="46">
        <f>J62*(1+'Assum. used in model'!$H$63)</f>
        <v>0</v>
      </c>
      <c r="L62" s="46">
        <f>K62*(1+'Assum. used in model'!$H$63)</f>
        <v>0</v>
      </c>
      <c r="M62" s="46">
        <f>L62*(1+'Assum. used in model'!$H$63)</f>
        <v>0</v>
      </c>
      <c r="N62" s="46">
        <f>M62*(1+'Assum. used in model'!$H$63)</f>
        <v>0</v>
      </c>
      <c r="P62" s="46">
        <f>SUM(E62:N62)</f>
        <v>0</v>
      </c>
    </row>
    <row r="63" spans="1:16" x14ac:dyDescent="0.25">
      <c r="B63" s="74" t="s">
        <v>141</v>
      </c>
      <c r="E63" s="46">
        <f>'Assum. used in model'!$J$56*(E21+E25)</f>
        <v>0</v>
      </c>
      <c r="F63" s="46">
        <f>(F11+F15)*'Assum. used in model'!$J$56</f>
        <v>2595000</v>
      </c>
      <c r="G63" s="46">
        <f>(G11+G15)*'Assum. used in model'!$J$56</f>
        <v>519000</v>
      </c>
      <c r="H63" s="46">
        <f>(H11+H15)*'Assum. used in model'!$J$56</f>
        <v>622800</v>
      </c>
      <c r="I63" s="46">
        <f>(I11+I15)*'Assum. used in model'!$J$56</f>
        <v>747360</v>
      </c>
      <c r="J63" s="46">
        <f>(J11+J15)*'Assum. used in model'!$J$56</f>
        <v>896832</v>
      </c>
      <c r="K63" s="46">
        <f>(K11+K15)*'Assum. used in model'!$J$56</f>
        <v>1076198.4000000001</v>
      </c>
      <c r="L63" s="46">
        <f>(L11+L15)*'Assum. used in model'!$J$56</f>
        <v>1291438.0800000001</v>
      </c>
      <c r="M63" s="46">
        <f>(M11+M15)*'Assum. used in model'!$J$56</f>
        <v>1549725.6960000002</v>
      </c>
      <c r="N63" s="46">
        <f>(N11+N15)*'Assum. used in model'!$J$56</f>
        <v>1859670.8352000003</v>
      </c>
      <c r="P63" s="46">
        <f t="shared" si="8"/>
        <v>11158025.011200001</v>
      </c>
    </row>
    <row r="64" spans="1:16" x14ac:dyDescent="0.25">
      <c r="A64" s="32"/>
      <c r="B64" s="2" t="s">
        <v>25</v>
      </c>
      <c r="E64" s="67">
        <v>0</v>
      </c>
      <c r="F64" s="46">
        <f>'Assum. used in model'!$J$64*(1+'Assum. used in model'!$H$64)</f>
        <v>0</v>
      </c>
      <c r="G64" s="46">
        <f>F64*(1+'Assum. used in model'!$H$64)</f>
        <v>0</v>
      </c>
      <c r="H64" s="46">
        <f>G64*(1+'Assum. used in model'!$H$64)</f>
        <v>0</v>
      </c>
      <c r="I64" s="46">
        <f>H64*(1+'Assum. used in model'!$H$64)</f>
        <v>0</v>
      </c>
      <c r="J64" s="46">
        <f>I64*(1+'Assum. used in model'!$H$64)</f>
        <v>0</v>
      </c>
      <c r="K64" s="46">
        <f>J64*(1+'Assum. used in model'!$H$64)</f>
        <v>0</v>
      </c>
      <c r="L64" s="46">
        <f>K64*(1+'Assum. used in model'!$H$64)</f>
        <v>0</v>
      </c>
      <c r="M64" s="46">
        <f>L64*(1+'Assum. used in model'!$H$64)</f>
        <v>0</v>
      </c>
      <c r="N64" s="46">
        <f>M64*(1+'Assum. used in model'!$H$64)</f>
        <v>0</v>
      </c>
      <c r="P64" s="46">
        <f t="shared" ref="P64:P71" si="9">SUM(E64:N64)</f>
        <v>0</v>
      </c>
    </row>
    <row r="65" spans="1:16" x14ac:dyDescent="0.25">
      <c r="A65" s="32"/>
      <c r="B65" s="2" t="s">
        <v>106</v>
      </c>
      <c r="E65" s="67">
        <v>0</v>
      </c>
      <c r="F65" s="46">
        <f>'Assum. used in model'!$J$65*(1+'Assum. used in model'!$H$65)</f>
        <v>-442050</v>
      </c>
      <c r="G65" s="46">
        <f>F65*(1+'Assum. used in model'!$H$65)</f>
        <v>-442050</v>
      </c>
      <c r="H65" s="46">
        <f>G65*(1+'Assum. used in model'!$H$65)</f>
        <v>-442050</v>
      </c>
      <c r="I65" s="46">
        <f>H65*(1+'Assum. used in model'!$H$65)</f>
        <v>-442050</v>
      </c>
      <c r="J65" s="46">
        <f>I65*(1+'Assum. used in model'!$H$65)</f>
        <v>-442050</v>
      </c>
      <c r="K65" s="46">
        <f>J65*(1+'Assum. used in model'!$H$65)</f>
        <v>-442050</v>
      </c>
      <c r="L65" s="46">
        <f>K65*(1+'Assum. used in model'!$H$65)</f>
        <v>-442050</v>
      </c>
      <c r="M65" s="46">
        <f>L65*(1+'Assum. used in model'!$H$65)</f>
        <v>-442050</v>
      </c>
      <c r="N65" s="46">
        <f>M65*(1+'Assum. used in model'!$H$65)</f>
        <v>-442050</v>
      </c>
      <c r="P65" s="46">
        <f t="shared" si="9"/>
        <v>-3978450</v>
      </c>
    </row>
    <row r="66" spans="1:16" x14ac:dyDescent="0.25">
      <c r="A66" s="32"/>
      <c r="B66" s="36" t="s">
        <v>116</v>
      </c>
      <c r="E66" s="67">
        <v>0</v>
      </c>
      <c r="F66" s="46">
        <f>'Assum. used in model'!$J$66*(1+'Assum. used in model'!$H$66)</f>
        <v>-175000</v>
      </c>
      <c r="G66" s="46">
        <f>F66*(1+'Assum. used in model'!$H$66)</f>
        <v>-175000</v>
      </c>
      <c r="H66" s="46">
        <f>G66*(1+'Assum. used in model'!$H$66)</f>
        <v>-175000</v>
      </c>
      <c r="I66" s="46">
        <f>H66*(1+'Assum. used in model'!$H$66)</f>
        <v>-175000</v>
      </c>
      <c r="J66" s="46">
        <f>I66*(1+'Assum. used in model'!$H$66)</f>
        <v>-175000</v>
      </c>
      <c r="K66" s="46">
        <f>J66*(1+'Assum. used in model'!$H$66)</f>
        <v>-175000</v>
      </c>
      <c r="L66" s="46">
        <f>K66*(1+'Assum. used in model'!$H$66)</f>
        <v>-175000</v>
      </c>
      <c r="M66" s="46">
        <f>L66*(1+'Assum. used in model'!$H$66)</f>
        <v>-175000</v>
      </c>
      <c r="N66" s="46">
        <f>M66*(1+'Assum. used in model'!$H$66)</f>
        <v>-175000</v>
      </c>
      <c r="P66" s="46">
        <f t="shared" si="9"/>
        <v>-1575000</v>
      </c>
    </row>
    <row r="67" spans="1:16" x14ac:dyDescent="0.25">
      <c r="A67" s="32"/>
      <c r="B67" s="2" t="s">
        <v>104</v>
      </c>
      <c r="E67" s="67">
        <v>0</v>
      </c>
      <c r="F67" s="46">
        <f>'Assum. used in model'!$J$67*(1+'Assum. used in model'!$H$67)</f>
        <v>0</v>
      </c>
      <c r="G67" s="46">
        <f>F67*(1+'Assum. used in model'!$H$67)</f>
        <v>0</v>
      </c>
      <c r="H67" s="46">
        <f>G67*(1+'Assum. used in model'!$H$67)</f>
        <v>0</v>
      </c>
      <c r="I67" s="46">
        <f>H67*(1+'Assum. used in model'!$H$67)</f>
        <v>0</v>
      </c>
      <c r="J67" s="46">
        <f>I67*(1+'Assum. used in model'!$H$67)</f>
        <v>0</v>
      </c>
      <c r="K67" s="46">
        <f>J67*(1+'Assum. used in model'!$H$67)</f>
        <v>0</v>
      </c>
      <c r="L67" s="46">
        <f>K67*(1+'Assum. used in model'!$H$67)</f>
        <v>0</v>
      </c>
      <c r="M67" s="46">
        <f>L67*(1+'Assum. used in model'!$H$67)</f>
        <v>0</v>
      </c>
      <c r="N67" s="46">
        <f>M67*(1+'Assum. used in model'!$H$67)</f>
        <v>0</v>
      </c>
      <c r="P67" s="46">
        <f t="shared" si="9"/>
        <v>0</v>
      </c>
    </row>
    <row r="68" spans="1:16" x14ac:dyDescent="0.25">
      <c r="A68" s="32"/>
      <c r="B68" s="36" t="s">
        <v>109</v>
      </c>
      <c r="E68" s="67">
        <v>0</v>
      </c>
      <c r="F68" s="46">
        <f>'Assum. used in model'!$J$68*(1+'Assum. used in model'!$H$68)</f>
        <v>0</v>
      </c>
      <c r="G68" s="46">
        <f>F68*(1+'Assum. used in model'!$H$68)</f>
        <v>0</v>
      </c>
      <c r="H68" s="46">
        <f>G68*(1+'Assum. used in model'!$H$68)</f>
        <v>0</v>
      </c>
      <c r="I68" s="46">
        <f>H68*(1+'Assum. used in model'!$H$68)</f>
        <v>0</v>
      </c>
      <c r="J68" s="46">
        <f>I68*(1+'Assum. used in model'!$H$68)</f>
        <v>0</v>
      </c>
      <c r="K68" s="46">
        <f>J68*(1+'Assum. used in model'!$H$68)</f>
        <v>0</v>
      </c>
      <c r="L68" s="46">
        <f>K68*(1+'Assum. used in model'!$H$68)</f>
        <v>0</v>
      </c>
      <c r="M68" s="46">
        <f>L68*(1+'Assum. used in model'!$H$68)</f>
        <v>0</v>
      </c>
      <c r="N68" s="46">
        <f>M68*(1+'Assum. used in model'!$H$68)</f>
        <v>0</v>
      </c>
      <c r="P68" s="46">
        <f t="shared" si="9"/>
        <v>0</v>
      </c>
    </row>
    <row r="69" spans="1:16" x14ac:dyDescent="0.25">
      <c r="B69" s="111" t="s">
        <v>134</v>
      </c>
      <c r="E69" s="67">
        <v>0</v>
      </c>
      <c r="F69" s="46">
        <f>'Assum. used in model'!$J$60*(1+'Assum. used in model'!$H$60)</f>
        <v>500000</v>
      </c>
      <c r="G69" s="46">
        <f>F69*(1+'Assum. used in model'!$H$60)</f>
        <v>500000</v>
      </c>
      <c r="H69" s="46">
        <f>G69*(1+'Assum. used in model'!$H$60)</f>
        <v>500000</v>
      </c>
      <c r="I69" s="46">
        <f>H69*(1+'Assum. used in model'!$H$60)</f>
        <v>500000</v>
      </c>
      <c r="J69" s="46">
        <f>I69*(1+'Assum. used in model'!$H$60)</f>
        <v>500000</v>
      </c>
      <c r="K69" s="46">
        <f>J69*(1+'Assum. used in model'!$H$60)</f>
        <v>500000</v>
      </c>
      <c r="L69" s="46">
        <f>K69*(1+'Assum. used in model'!$H$60)</f>
        <v>500000</v>
      </c>
      <c r="M69" s="46">
        <f>L69*(1+'Assum. used in model'!$H$60)</f>
        <v>500000</v>
      </c>
      <c r="N69" s="46">
        <f>M69*(1+'Assum. used in model'!$H$60)</f>
        <v>500000</v>
      </c>
      <c r="P69" s="46">
        <f t="shared" si="9"/>
        <v>4500000</v>
      </c>
    </row>
    <row r="70" spans="1:16" x14ac:dyDescent="0.25">
      <c r="B70" s="39" t="s">
        <v>132</v>
      </c>
      <c r="E70" s="67">
        <v>0</v>
      </c>
      <c r="F70" s="46">
        <f>'Assum. used in model'!$J$59*(1+'Assum. used in model'!$H$59)</f>
        <v>0</v>
      </c>
      <c r="G70" s="46">
        <f>F70*(1+'Assum. used in model'!$H$59)</f>
        <v>0</v>
      </c>
      <c r="H70" s="46">
        <f>G70*(1+'Assum. used in model'!$H$59)</f>
        <v>0</v>
      </c>
      <c r="I70" s="46">
        <f>H70*(1+'Assum. used in model'!$H$59)</f>
        <v>0</v>
      </c>
      <c r="J70" s="46">
        <f>I70*(1+'Assum. used in model'!$H$59)</f>
        <v>0</v>
      </c>
      <c r="K70" s="46">
        <f>J70*(1+'Assum. used in model'!$H$59)</f>
        <v>0</v>
      </c>
      <c r="L70" s="46">
        <f>K70*(1+'Assum. used in model'!$H$59)</f>
        <v>0</v>
      </c>
      <c r="M70" s="46">
        <f>L70*(1+'Assum. used in model'!$H$59)</f>
        <v>0</v>
      </c>
      <c r="N70" s="46">
        <f>M70*(1+'Assum. used in model'!$H$59)</f>
        <v>0</v>
      </c>
      <c r="P70" s="46">
        <f t="shared" si="9"/>
        <v>0</v>
      </c>
    </row>
    <row r="71" spans="1:16" x14ac:dyDescent="0.25">
      <c r="B71" s="88" t="s">
        <v>189</v>
      </c>
      <c r="E71" s="62">
        <f>'Assum. used in model'!$J$75*(E49+E55+E61+E63)</f>
        <v>0</v>
      </c>
      <c r="F71" s="62"/>
      <c r="G71" s="62"/>
      <c r="H71" s="62"/>
      <c r="I71" s="62"/>
      <c r="J71" s="62"/>
      <c r="K71" s="62"/>
      <c r="L71" s="62"/>
      <c r="M71" s="62"/>
      <c r="N71" s="62"/>
      <c r="P71" s="62">
        <f t="shared" si="9"/>
        <v>0</v>
      </c>
    </row>
    <row r="72" spans="1:16" ht="13.8" x14ac:dyDescent="0.3">
      <c r="B72" s="60" t="s">
        <v>72</v>
      </c>
      <c r="E72" s="61">
        <f>SUM(E49:E71)</f>
        <v>0</v>
      </c>
      <c r="F72" s="61">
        <f t="shared" ref="F72:N72" si="10">SUM(F49:F71)</f>
        <v>17902138</v>
      </c>
      <c r="G72" s="61">
        <f t="shared" si="10"/>
        <v>14855350</v>
      </c>
      <c r="H72" s="61">
        <f t="shared" si="10"/>
        <v>16962070</v>
      </c>
      <c r="I72" s="61">
        <f t="shared" si="10"/>
        <v>20417494</v>
      </c>
      <c r="J72" s="61">
        <f t="shared" si="10"/>
        <v>24564002.800000001</v>
      </c>
      <c r="K72" s="61">
        <f t="shared" si="10"/>
        <v>29539813.359999999</v>
      </c>
      <c r="L72" s="61">
        <f t="shared" si="10"/>
        <v>35510786.031999998</v>
      </c>
      <c r="M72" s="61">
        <f t="shared" si="10"/>
        <v>42675953.238400005</v>
      </c>
      <c r="N72" s="61">
        <f t="shared" si="10"/>
        <v>51274153.886080004</v>
      </c>
      <c r="P72" s="61">
        <f>SUM(E72:N72)</f>
        <v>253701761.31648001</v>
      </c>
    </row>
    <row r="73" spans="1:16" x14ac:dyDescent="0.25">
      <c r="P73" s="66"/>
    </row>
    <row r="74" spans="1:16" x14ac:dyDescent="0.25">
      <c r="B74" s="88" t="s">
        <v>88</v>
      </c>
      <c r="E74" s="91">
        <f>E44-E72</f>
        <v>0</v>
      </c>
      <c r="F74" s="91">
        <f t="shared" ref="F74:N74" si="11">F44-F72</f>
        <v>-17755324.340414088</v>
      </c>
      <c r="G74" s="91">
        <f t="shared" si="11"/>
        <v>-14618023.808421556</v>
      </c>
      <c r="H74" s="91">
        <f t="shared" si="11"/>
        <v>-16689437.397072745</v>
      </c>
      <c r="I74" s="91">
        <f t="shared" si="11"/>
        <v>-20102839.106469266</v>
      </c>
      <c r="J74" s="91">
        <f t="shared" si="11"/>
        <v>-24198139.621818069</v>
      </c>
      <c r="K74" s="91">
        <f t="shared" si="11"/>
        <v>-29111750.808418199</v>
      </c>
      <c r="L74" s="91">
        <f t="shared" si="11"/>
        <v>-35007382.441169821</v>
      </c>
      <c r="M74" s="91">
        <f t="shared" si="11"/>
        <v>-42081483.487735622</v>
      </c>
      <c r="N74" s="91">
        <f t="shared" si="11"/>
        <v>-50569789.843713053</v>
      </c>
      <c r="P74" s="90">
        <f>SUM(E74:N74)</f>
        <v>-250134170.85523242</v>
      </c>
    </row>
    <row r="76" spans="1:16" x14ac:dyDescent="0.25">
      <c r="B76" s="88" t="s">
        <v>90</v>
      </c>
      <c r="E76" s="47">
        <f>(E49+E54+E55+E58+E59+E60+E61+E63+E69)*'Assum. used in model'!$J$78</f>
        <v>0</v>
      </c>
      <c r="F76" s="47">
        <f>(F49+F51+F52+F53+F54+F55+F58+F59+F60+F61+F63+F69)*'Assum. used in model'!$J$78</f>
        <v>7659675.2000000002</v>
      </c>
      <c r="G76" s="47">
        <f>(G49+G51+G52+G53+G54+G55+G58+G59+G60+G61+G63+G69)*'Assum. used in model'!$J$78</f>
        <v>6440960</v>
      </c>
      <c r="H76" s="47">
        <f>(H49+H51+H52+H53+H54+H55+H58+H59+H60+H61+H63+H69)*'Assum. used in model'!$J$78</f>
        <v>7283648</v>
      </c>
      <c r="I76" s="47">
        <f>(I49+I51+I52+I53+I54+I55+I58+I59+I60+I61+I63+I69)*'Assum. used in model'!$J$78</f>
        <v>8665817.5999999996</v>
      </c>
      <c r="J76" s="47">
        <f>(J49+J51+J52+J53+J54+J55+J58+J59+J60+J61+J63+J69)*'Assum. used in model'!$J$78</f>
        <v>10324421.120000001</v>
      </c>
      <c r="K76" s="47">
        <f>(K49+K51+K52+K53+K54+K55+K58+K59+K60+K61+K63+K69)*'Assum. used in model'!$J$78</f>
        <v>12314745.344000001</v>
      </c>
      <c r="L76" s="47">
        <f>(L49+L51+L52+L53+L54+L55+L58+L59+L60+L61+L63+L69)*'Assum. used in model'!$J$78</f>
        <v>14703134.412799999</v>
      </c>
      <c r="M76" s="47">
        <f>(M49+M51+M52+M53+M54+M55+M58+M59+M60+M61+M63+M69)*'Assum. used in model'!$J$78</f>
        <v>17569201.295360003</v>
      </c>
      <c r="N76" s="47">
        <f>(N49+N51+N52+N53+N54+N55+N58+N59+N60+N61+N63+N69)*'Assum. used in model'!$J$78</f>
        <v>21008481.554432005</v>
      </c>
      <c r="P76" s="46">
        <f>SUM(E76:N76)</f>
        <v>105970084.526592</v>
      </c>
    </row>
    <row r="78" spans="1:16" ht="14.4" thickBot="1" x14ac:dyDescent="0.35">
      <c r="B78" s="60" t="s">
        <v>89</v>
      </c>
      <c r="E78" s="51">
        <f>E74+E76</f>
        <v>0</v>
      </c>
      <c r="F78" s="51">
        <f t="shared" ref="F78:N78" si="12">F74+F76</f>
        <v>-10095649.140414089</v>
      </c>
      <c r="G78" s="51">
        <f t="shared" si="12"/>
        <v>-8177063.8084215559</v>
      </c>
      <c r="H78" s="51">
        <f t="shared" si="12"/>
        <v>-9405789.3970727455</v>
      </c>
      <c r="I78" s="51">
        <f t="shared" si="12"/>
        <v>-11437021.506469266</v>
      </c>
      <c r="J78" s="51">
        <f t="shared" si="12"/>
        <v>-13873718.501818068</v>
      </c>
      <c r="K78" s="51">
        <f t="shared" si="12"/>
        <v>-16797005.464418199</v>
      </c>
      <c r="L78" s="51">
        <f t="shared" si="12"/>
        <v>-20304248.028369822</v>
      </c>
      <c r="M78" s="51">
        <f t="shared" si="12"/>
        <v>-24512282.192375619</v>
      </c>
      <c r="N78" s="51">
        <f t="shared" si="12"/>
        <v>-29561308.289281048</v>
      </c>
      <c r="P78" s="53">
        <f>SUM(E78:N78)</f>
        <v>-144164086.3286404</v>
      </c>
    </row>
    <row r="79" spans="1:16" ht="13.8" thickTop="1" x14ac:dyDescent="0.25"/>
    <row r="80" spans="1:16" ht="13.8" thickBot="1" x14ac:dyDescent="0.3"/>
    <row r="81" spans="2:14" ht="13.8" thickBot="1" x14ac:dyDescent="0.3">
      <c r="B81" s="50" t="s">
        <v>159</v>
      </c>
      <c r="F81" s="126">
        <f>XNPV('Assum. used in model'!$J$74,F85:H85,F84:H84)</f>
        <v>-25491727.26225657</v>
      </c>
      <c r="G81" s="48"/>
      <c r="H81" s="48"/>
      <c r="I81" s="48"/>
      <c r="J81" s="48"/>
      <c r="K81" s="48"/>
      <c r="L81" s="48"/>
      <c r="M81" s="48"/>
    </row>
    <row r="82" spans="2:14" ht="13.8" thickBot="1" x14ac:dyDescent="0.3">
      <c r="B82" s="50" t="s">
        <v>160</v>
      </c>
      <c r="F82" s="126">
        <f>XNPV('Assum. used in model'!$J$74,Cashflows!F89:N89,Cashflows!F88:N88)</f>
        <v>-91607345.041924372</v>
      </c>
    </row>
    <row r="83" spans="2:14" x14ac:dyDescent="0.25">
      <c r="E83" s="70"/>
      <c r="F83" s="70"/>
      <c r="G83" s="70"/>
      <c r="H83" s="70"/>
      <c r="I83" s="70"/>
      <c r="J83" s="70"/>
      <c r="K83" s="70"/>
      <c r="L83" s="70"/>
      <c r="M83" s="70"/>
    </row>
    <row r="84" spans="2:14" x14ac:dyDescent="0.25">
      <c r="D84" s="125"/>
      <c r="E84" s="125">
        <v>36891</v>
      </c>
      <c r="F84" s="125">
        <v>37256</v>
      </c>
      <c r="G84" s="125">
        <v>37621</v>
      </c>
      <c r="H84" s="125">
        <v>37894</v>
      </c>
      <c r="I84" s="125"/>
      <c r="J84" s="125"/>
      <c r="K84" s="125"/>
      <c r="L84" s="125"/>
      <c r="M84" s="125"/>
      <c r="N84" s="125"/>
    </row>
    <row r="85" spans="2:14" x14ac:dyDescent="0.25">
      <c r="D85" s="46"/>
      <c r="E85" s="46">
        <f>E78</f>
        <v>0</v>
      </c>
      <c r="F85" s="46">
        <f>F78</f>
        <v>-10095649.140414089</v>
      </c>
      <c r="G85" s="46">
        <f>G78</f>
        <v>-8177063.8084215559</v>
      </c>
      <c r="H85" s="46">
        <f>H78</f>
        <v>-9405789.3970727455</v>
      </c>
      <c r="I85" s="46"/>
      <c r="J85" s="46"/>
      <c r="K85" s="46"/>
      <c r="L85" s="46"/>
      <c r="M85" s="46"/>
      <c r="N85" s="46"/>
    </row>
    <row r="86" spans="2:14" x14ac:dyDescent="0.25">
      <c r="G86" s="48"/>
    </row>
    <row r="88" spans="2:14" x14ac:dyDescent="0.25">
      <c r="D88" s="125"/>
      <c r="E88" s="125">
        <v>36891</v>
      </c>
      <c r="F88" s="125">
        <v>37256</v>
      </c>
      <c r="G88" s="125">
        <v>37621</v>
      </c>
      <c r="H88" s="125">
        <v>37986</v>
      </c>
      <c r="I88" s="125">
        <v>38352</v>
      </c>
      <c r="J88" s="125">
        <v>38717</v>
      </c>
      <c r="K88" s="125">
        <v>39082</v>
      </c>
      <c r="L88" s="125">
        <v>39447</v>
      </c>
      <c r="M88" s="125">
        <v>39813</v>
      </c>
      <c r="N88" s="125">
        <v>40178</v>
      </c>
    </row>
    <row r="89" spans="2:14" x14ac:dyDescent="0.25">
      <c r="D89" s="46"/>
      <c r="E89" s="46">
        <f>E78</f>
        <v>0</v>
      </c>
      <c r="F89" s="46">
        <f t="shared" ref="F89:N89" si="13">F78</f>
        <v>-10095649.140414089</v>
      </c>
      <c r="G89" s="46">
        <f t="shared" si="13"/>
        <v>-8177063.8084215559</v>
      </c>
      <c r="H89" s="46">
        <f t="shared" si="13"/>
        <v>-9405789.3970727455</v>
      </c>
      <c r="I89" s="46">
        <f t="shared" si="13"/>
        <v>-11437021.506469266</v>
      </c>
      <c r="J89" s="46">
        <f t="shared" si="13"/>
        <v>-13873718.501818068</v>
      </c>
      <c r="K89" s="46">
        <f t="shared" si="13"/>
        <v>-16797005.464418199</v>
      </c>
      <c r="L89" s="46">
        <f t="shared" si="13"/>
        <v>-20304248.028369822</v>
      </c>
      <c r="M89" s="46">
        <f t="shared" si="13"/>
        <v>-24512282.192375619</v>
      </c>
      <c r="N89" s="46">
        <f t="shared" si="13"/>
        <v>-29561308.289281048</v>
      </c>
    </row>
  </sheetData>
  <pageMargins left="0.41" right="0.36" top="0.53" bottom="0.52" header="0.5" footer="0.5"/>
  <pageSetup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workbookViewId="0">
      <selection activeCell="E11" sqref="E11"/>
    </sheetView>
  </sheetViews>
  <sheetFormatPr defaultColWidth="9.109375" defaultRowHeight="13.2" x14ac:dyDescent="0.25"/>
  <cols>
    <col min="1" max="1" width="9.6640625" style="2" customWidth="1"/>
    <col min="2" max="2" width="12.44140625" style="2" customWidth="1"/>
    <col min="3" max="4" width="14.109375" style="2" customWidth="1"/>
    <col min="5" max="8" width="15.6640625" style="2" customWidth="1"/>
    <col min="9" max="16384" width="9.109375" style="2"/>
  </cols>
  <sheetData>
    <row r="1" spans="1:8" s="18" customFormat="1" ht="20.399999999999999" x14ac:dyDescent="0.35">
      <c r="A1" s="18" t="str">
        <f>'Assum. used in model'!A1</f>
        <v>Enron PC and ISP Analysis</v>
      </c>
    </row>
    <row r="3" spans="1:8" ht="13.8" x14ac:dyDescent="0.3">
      <c r="A3" s="1" t="s">
        <v>34</v>
      </c>
      <c r="D3" s="68" t="s">
        <v>79</v>
      </c>
    </row>
    <row r="4" spans="1:8" x14ac:dyDescent="0.25">
      <c r="D4" s="69" t="s">
        <v>80</v>
      </c>
    </row>
    <row r="5" spans="1:8" x14ac:dyDescent="0.25">
      <c r="D5" s="36" t="s">
        <v>81</v>
      </c>
    </row>
    <row r="6" spans="1:8" x14ac:dyDescent="0.25">
      <c r="B6" s="41"/>
      <c r="C6" s="42"/>
      <c r="D6" s="42"/>
      <c r="E6" s="37"/>
    </row>
    <row r="7" spans="1:8" x14ac:dyDescent="0.25">
      <c r="E7" s="56" t="s">
        <v>38</v>
      </c>
      <c r="F7" s="44" t="s">
        <v>39</v>
      </c>
      <c r="G7" s="44" t="s">
        <v>40</v>
      </c>
      <c r="H7" s="44" t="s">
        <v>41</v>
      </c>
    </row>
    <row r="8" spans="1:8" ht="16.2" x14ac:dyDescent="0.35">
      <c r="A8" s="35" t="s">
        <v>36</v>
      </c>
      <c r="E8" s="42"/>
    </row>
    <row r="9" spans="1:8" x14ac:dyDescent="0.25">
      <c r="B9" s="36" t="s">
        <v>57</v>
      </c>
      <c r="E9" s="57">
        <f>E29*E36*E30</f>
        <v>0</v>
      </c>
      <c r="F9" s="47">
        <f>E35*E29*E31*E37*E34</f>
        <v>12600000</v>
      </c>
      <c r="G9" s="47">
        <f>E35*E29*E31*E37*E34</f>
        <v>12600000</v>
      </c>
      <c r="H9" s="47">
        <f>E35*E29*E31*E37*E34</f>
        <v>12600000</v>
      </c>
    </row>
    <row r="10" spans="1:8" x14ac:dyDescent="0.25">
      <c r="B10" s="2" t="s">
        <v>35</v>
      </c>
      <c r="E10" s="57">
        <f>E16*E29*E30*E37</f>
        <v>0</v>
      </c>
      <c r="F10" s="46">
        <f>E29*E31*E35*E37*E34</f>
        <v>12600000</v>
      </c>
      <c r="G10" s="46">
        <f>G16*E29*E31*E37</f>
        <v>0</v>
      </c>
      <c r="H10" s="46">
        <f>H16*E29*E31*E37</f>
        <v>0</v>
      </c>
    </row>
    <row r="11" spans="1:8" x14ac:dyDescent="0.25">
      <c r="B11" s="36" t="s">
        <v>55</v>
      </c>
      <c r="E11" s="57">
        <f>(E9-E10)/$E$34</f>
        <v>0</v>
      </c>
      <c r="F11" s="57">
        <f>(F9-F10)/$E$34</f>
        <v>0</v>
      </c>
      <c r="G11" s="57">
        <f>(G9-G10)/$E$34</f>
        <v>4200000</v>
      </c>
      <c r="H11" s="57">
        <f>(H9-H10)/$E$34</f>
        <v>4200000</v>
      </c>
    </row>
    <row r="12" spans="1:8" x14ac:dyDescent="0.25">
      <c r="B12" s="36" t="s">
        <v>56</v>
      </c>
      <c r="E12" s="57">
        <f>E11-(E11*$E$33)</f>
        <v>0</v>
      </c>
      <c r="F12" s="57">
        <f>F11-(F11*$E$33)</f>
        <v>0</v>
      </c>
      <c r="G12" s="57">
        <f>G11-(G11*$E$33)</f>
        <v>2520000</v>
      </c>
      <c r="H12" s="57">
        <f>H11-(H11*$E$33)</f>
        <v>2520000</v>
      </c>
    </row>
    <row r="13" spans="1:8" x14ac:dyDescent="0.25">
      <c r="E13" s="42"/>
    </row>
    <row r="14" spans="1:8" x14ac:dyDescent="0.25">
      <c r="E14" s="42"/>
    </row>
    <row r="15" spans="1:8" ht="16.2" x14ac:dyDescent="0.35">
      <c r="A15" s="43" t="s">
        <v>37</v>
      </c>
      <c r="E15" s="42"/>
    </row>
    <row r="16" spans="1:8" x14ac:dyDescent="0.25">
      <c r="B16" s="36" t="s">
        <v>68</v>
      </c>
      <c r="E16" s="58">
        <v>0</v>
      </c>
      <c r="F16" s="52">
        <v>0</v>
      </c>
      <c r="G16" s="52">
        <v>0</v>
      </c>
      <c r="H16" s="52">
        <v>0</v>
      </c>
    </row>
    <row r="17" spans="1:8" x14ac:dyDescent="0.25">
      <c r="B17" s="2" t="s">
        <v>42</v>
      </c>
      <c r="E17" s="54">
        <f>E36</f>
        <v>0</v>
      </c>
      <c r="F17" s="48">
        <f>E35*E37</f>
        <v>420</v>
      </c>
      <c r="G17" s="48">
        <f>0*E37</f>
        <v>0</v>
      </c>
      <c r="H17" s="48">
        <f>(E35-H16)*E37</f>
        <v>420</v>
      </c>
    </row>
    <row r="18" spans="1:8" x14ac:dyDescent="0.25">
      <c r="B18" s="2" t="s">
        <v>43</v>
      </c>
      <c r="E18" s="59">
        <f>E17*$E$32</f>
        <v>0</v>
      </c>
      <c r="F18" s="48">
        <f>F17*$E$32</f>
        <v>140</v>
      </c>
      <c r="G18" s="48">
        <f>G17*$E$32</f>
        <v>0</v>
      </c>
      <c r="H18" s="48">
        <f>H17*$E$32</f>
        <v>140</v>
      </c>
    </row>
    <row r="19" spans="1:8" s="33" customFormat="1" ht="13.8" thickBot="1" x14ac:dyDescent="0.3">
      <c r="B19" s="50" t="s">
        <v>59</v>
      </c>
      <c r="E19" s="55">
        <f>E18+(E16*$E$37)</f>
        <v>0</v>
      </c>
      <c r="F19" s="53">
        <f>F18+(F16*$E$37)</f>
        <v>140</v>
      </c>
      <c r="G19" s="53">
        <f>G18+(G16*$E$37)</f>
        <v>0</v>
      </c>
      <c r="H19" s="53">
        <f>H18+(H16*$E$37)</f>
        <v>140</v>
      </c>
    </row>
    <row r="20" spans="1:8" ht="13.8" thickTop="1" x14ac:dyDescent="0.25"/>
    <row r="21" spans="1:8" x14ac:dyDescent="0.25">
      <c r="A21" s="50" t="s">
        <v>60</v>
      </c>
    </row>
    <row r="23" spans="1:8" x14ac:dyDescent="0.25">
      <c r="A23" s="49" t="s">
        <v>64</v>
      </c>
      <c r="B23" s="2" t="s">
        <v>61</v>
      </c>
    </row>
    <row r="24" spans="1:8" x14ac:dyDescent="0.25">
      <c r="A24" s="49" t="s">
        <v>65</v>
      </c>
      <c r="B24" s="2" t="s">
        <v>62</v>
      </c>
    </row>
    <row r="25" spans="1:8" x14ac:dyDescent="0.25">
      <c r="A25" s="49" t="s">
        <v>66</v>
      </c>
      <c r="B25" s="2" t="s">
        <v>63</v>
      </c>
    </row>
    <row r="26" spans="1:8" x14ac:dyDescent="0.25">
      <c r="A26" s="49" t="s">
        <v>67</v>
      </c>
      <c r="B26" s="36" t="s">
        <v>91</v>
      </c>
    </row>
    <row r="29" spans="1:8" x14ac:dyDescent="0.25">
      <c r="A29" s="36" t="s">
        <v>51</v>
      </c>
      <c r="E29" s="25">
        <v>10000</v>
      </c>
    </row>
    <row r="30" spans="1:8" x14ac:dyDescent="0.25">
      <c r="A30" s="36" t="s">
        <v>46</v>
      </c>
      <c r="E30" s="27">
        <v>0.75</v>
      </c>
    </row>
    <row r="31" spans="1:8" x14ac:dyDescent="0.25">
      <c r="A31" s="36" t="s">
        <v>47</v>
      </c>
      <c r="E31" s="27">
        <v>1</v>
      </c>
    </row>
    <row r="32" spans="1:8" x14ac:dyDescent="0.25">
      <c r="A32" s="2" t="s">
        <v>48</v>
      </c>
      <c r="E32" s="27">
        <f>1/3</f>
        <v>0.33333333333333331</v>
      </c>
    </row>
    <row r="33" spans="1:6" x14ac:dyDescent="0.25">
      <c r="A33" s="36" t="s">
        <v>69</v>
      </c>
      <c r="E33" s="45">
        <f>'Assum. used in model'!J78</f>
        <v>0.4</v>
      </c>
    </row>
    <row r="34" spans="1:6" x14ac:dyDescent="0.25">
      <c r="A34" s="2" t="s">
        <v>49</v>
      </c>
      <c r="E34" s="31">
        <v>3</v>
      </c>
      <c r="F34" s="2" t="s">
        <v>50</v>
      </c>
    </row>
    <row r="35" spans="1:6" x14ac:dyDescent="0.25">
      <c r="A35" s="36" t="s">
        <v>58</v>
      </c>
      <c r="E35" s="28">
        <v>35</v>
      </c>
      <c r="F35" s="2" t="s">
        <v>53</v>
      </c>
    </row>
    <row r="36" spans="1:6" x14ac:dyDescent="0.25">
      <c r="A36" s="2" t="s">
        <v>52</v>
      </c>
      <c r="E36" s="46">
        <f>'Assum. used in model'!J26</f>
        <v>0</v>
      </c>
    </row>
    <row r="37" spans="1:6" x14ac:dyDescent="0.25">
      <c r="A37" s="2" t="s">
        <v>54</v>
      </c>
      <c r="E37" s="25">
        <v>12</v>
      </c>
    </row>
  </sheetData>
  <pageMargins left="0.75" right="0.75" top="1" bottom="1" header="0.5" footer="0.5"/>
  <pageSetup scale="8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workbookViewId="0">
      <selection activeCell="E20" sqref="E20"/>
    </sheetView>
  </sheetViews>
  <sheetFormatPr defaultRowHeight="13.2" x14ac:dyDescent="0.25"/>
  <cols>
    <col min="3" max="4" width="9" style="133" customWidth="1"/>
    <col min="5" max="8" width="12.6640625" style="133" customWidth="1"/>
    <col min="9" max="13" width="12.6640625" customWidth="1"/>
  </cols>
  <sheetData>
    <row r="1" spans="1:14" s="19" customFormat="1" ht="21" x14ac:dyDescent="0.4">
      <c r="A1" s="18" t="str">
        <f>'Assum. used in model'!A1</f>
        <v>Enron PC and ISP Analysis</v>
      </c>
    </row>
    <row r="2" spans="1:14" s="2" customFormat="1" x14ac:dyDescent="0.25">
      <c r="C2" s="33"/>
      <c r="D2" s="33"/>
      <c r="E2" s="33"/>
      <c r="F2" s="33"/>
      <c r="G2" s="33"/>
      <c r="H2" s="33"/>
    </row>
    <row r="3" spans="1:14" s="2" customFormat="1" x14ac:dyDescent="0.25">
      <c r="B3" s="134">
        <v>5.3957156941830238E-2</v>
      </c>
      <c r="C3" s="33" t="s">
        <v>180</v>
      </c>
      <c r="D3" s="33"/>
      <c r="E3" s="33"/>
      <c r="F3" s="33"/>
      <c r="G3" s="23"/>
      <c r="H3" s="33"/>
    </row>
    <row r="4" spans="1:14" s="2" customFormat="1" x14ac:dyDescent="0.25">
      <c r="B4" s="134">
        <v>5.4943085058707535E-2</v>
      </c>
      <c r="C4" s="50" t="s">
        <v>181</v>
      </c>
      <c r="D4" s="33"/>
      <c r="E4" s="33"/>
      <c r="F4" s="33"/>
      <c r="G4" s="33"/>
      <c r="H4" s="33"/>
    </row>
    <row r="5" spans="1:14" s="2" customFormat="1" ht="13.8" thickBot="1" x14ac:dyDescent="0.3">
      <c r="B5" s="135">
        <f>B3+B4</f>
        <v>0.10890024200053777</v>
      </c>
      <c r="C5" s="33" t="s">
        <v>182</v>
      </c>
      <c r="D5" s="33"/>
      <c r="E5" s="33"/>
      <c r="F5" s="33"/>
      <c r="G5" s="33"/>
      <c r="H5" s="33"/>
    </row>
    <row r="6" spans="1:14" s="2" customFormat="1" ht="13.8" thickTop="1" x14ac:dyDescent="0.25">
      <c r="C6" s="33"/>
      <c r="D6" s="33"/>
      <c r="E6" s="33"/>
      <c r="F6" s="33"/>
      <c r="G6" s="33"/>
      <c r="H6" s="33"/>
    </row>
    <row r="7" spans="1:14" s="2" customFormat="1" x14ac:dyDescent="0.25">
      <c r="C7" s="34"/>
      <c r="D7" s="34"/>
      <c r="E7" s="34">
        <v>2001</v>
      </c>
      <c r="F7" s="34">
        <v>2002</v>
      </c>
      <c r="G7" s="34">
        <v>2003</v>
      </c>
      <c r="H7" s="34">
        <v>2004</v>
      </c>
      <c r="I7" s="34">
        <v>2005</v>
      </c>
      <c r="J7" s="34">
        <v>2006</v>
      </c>
      <c r="K7" s="34">
        <v>2007</v>
      </c>
      <c r="L7" s="34">
        <v>2008</v>
      </c>
      <c r="M7" s="34">
        <v>2009</v>
      </c>
    </row>
    <row r="8" spans="1:14" s="2" customFormat="1" x14ac:dyDescent="0.25">
      <c r="C8" s="33"/>
      <c r="D8" s="136" t="s">
        <v>178</v>
      </c>
      <c r="E8" s="47">
        <f>Cashflows!F18</f>
        <v>15000</v>
      </c>
      <c r="F8" s="47">
        <f>E12</f>
        <v>14755.310567356817</v>
      </c>
      <c r="G8" s="47">
        <f t="shared" ref="G8:M8" si="0">F12</f>
        <v>16774.260058044172</v>
      </c>
      <c r="H8" s="47">
        <f t="shared" si="0"/>
        <v>19245.235401163216</v>
      </c>
      <c r="I8" s="47">
        <f t="shared" si="0"/>
        <v>22266.750107748368</v>
      </c>
      <c r="J8" s="47">
        <f t="shared" si="0"/>
        <v>25945.489680193787</v>
      </c>
      <c r="K8" s="47">
        <f t="shared" si="0"/>
        <v>30409.517396627169</v>
      </c>
      <c r="L8" s="47">
        <f t="shared" si="0"/>
        <v>35812.722583652801</v>
      </c>
      <c r="M8" s="47">
        <f t="shared" si="0"/>
        <v>42339.975015568467</v>
      </c>
    </row>
    <row r="9" spans="1:14" s="2" customFormat="1" x14ac:dyDescent="0.25">
      <c r="C9" s="33"/>
      <c r="D9" s="136" t="s">
        <v>177</v>
      </c>
      <c r="E9" s="47">
        <v>0</v>
      </c>
      <c r="F9" s="47">
        <f>Cashflows!G11+Cashflows!G15-F34</f>
        <v>2528.0989513310028</v>
      </c>
      <c r="G9" s="47">
        <f>Cashflows!H11+Cashflows!H15-G34</f>
        <v>3056.2627282370331</v>
      </c>
      <c r="H9" s="47">
        <f>Cashflows!I11+Cashflows!I15-H34</f>
        <v>3696.1303667666307</v>
      </c>
      <c r="I9" s="47">
        <f>Cashflows!J11+Cashflows!J15-I34</f>
        <v>4462.2630290809921</v>
      </c>
      <c r="J9" s="47">
        <f>Cashflows!K11+Cashflows!K15-J34</f>
        <v>5379.9033780561895</v>
      </c>
      <c r="K9" s="47">
        <f>Cashflows!L11+Cashflows!L15-K34</f>
        <v>6479.4609443895552</v>
      </c>
      <c r="L9" s="47">
        <f>Cashflows!M11+Cashflows!M15-L34</f>
        <v>7797.42216243642</v>
      </c>
      <c r="M9" s="47">
        <f>Cashflows!N11+Cashflows!N15-M34</f>
        <v>9377.5641974475857</v>
      </c>
    </row>
    <row r="10" spans="1:14" s="2" customFormat="1" x14ac:dyDescent="0.25">
      <c r="C10" s="33"/>
      <c r="D10" s="136" t="s">
        <v>183</v>
      </c>
      <c r="E10" s="47">
        <f>((E$8+E$9)*$B$3)*$F$20</f>
        <v>244.68943264318364</v>
      </c>
      <c r="F10" s="47">
        <f>((F$8+F$9)*$B$3)*$F$20</f>
        <v>281.9378446178348</v>
      </c>
      <c r="G10" s="47">
        <f t="shared" ref="G10:M10" si="1">((G$8+G$9)*$B$3)*$F$20</f>
        <v>323.48795797285823</v>
      </c>
      <c r="H10" s="47">
        <f t="shared" si="1"/>
        <v>374.23398492096726</v>
      </c>
      <c r="I10" s="47">
        <f t="shared" si="1"/>
        <v>436.02047063753184</v>
      </c>
      <c r="J10" s="47">
        <f t="shared" si="1"/>
        <v>510.99951031652722</v>
      </c>
      <c r="K10" s="47">
        <f t="shared" si="1"/>
        <v>601.75621207000472</v>
      </c>
      <c r="L10" s="47">
        <f t="shared" si="1"/>
        <v>711.39610502717915</v>
      </c>
      <c r="M10" s="47">
        <f t="shared" si="1"/>
        <v>843.64902184896664</v>
      </c>
    </row>
    <row r="11" spans="1:14" s="2" customFormat="1" x14ac:dyDescent="0.25">
      <c r="C11" s="33"/>
      <c r="D11" s="49" t="s">
        <v>184</v>
      </c>
      <c r="E11" s="64">
        <v>0</v>
      </c>
      <c r="F11" s="47">
        <f t="shared" ref="F11:N11" si="2">((E$8+E$9)*$B$3)*$F$21</f>
        <v>227.21161602581338</v>
      </c>
      <c r="G11" s="47">
        <f t="shared" si="2"/>
        <v>261.79942714513231</v>
      </c>
      <c r="H11" s="47">
        <f t="shared" si="2"/>
        <v>300.3816752605112</v>
      </c>
      <c r="I11" s="47">
        <f t="shared" si="2"/>
        <v>347.50298599804108</v>
      </c>
      <c r="J11" s="47">
        <f t="shared" si="2"/>
        <v>404.87615130627961</v>
      </c>
      <c r="K11" s="47">
        <f t="shared" si="2"/>
        <v>474.49954529391817</v>
      </c>
      <c r="L11" s="47">
        <f t="shared" si="2"/>
        <v>558.77362549357588</v>
      </c>
      <c r="M11" s="47">
        <f t="shared" si="2"/>
        <v>660.58209752523783</v>
      </c>
      <c r="N11" s="47">
        <f t="shared" si="2"/>
        <v>783.38837743118336</v>
      </c>
    </row>
    <row r="12" spans="1:14" s="2" customFormat="1" x14ac:dyDescent="0.25">
      <c r="C12" s="33"/>
      <c r="D12" s="136" t="s">
        <v>179</v>
      </c>
      <c r="E12" s="47">
        <f>E8-E10-E11+E9</f>
        <v>14755.310567356817</v>
      </c>
      <c r="F12" s="47">
        <f t="shared" ref="F12:M12" si="3">F8-F10-F11+F9</f>
        <v>16774.260058044172</v>
      </c>
      <c r="G12" s="47">
        <f t="shared" si="3"/>
        <v>19245.235401163216</v>
      </c>
      <c r="H12" s="47">
        <f t="shared" si="3"/>
        <v>22266.750107748368</v>
      </c>
      <c r="I12" s="47">
        <f t="shared" si="3"/>
        <v>25945.489680193787</v>
      </c>
      <c r="J12" s="47">
        <f t="shared" si="3"/>
        <v>30409.517396627169</v>
      </c>
      <c r="K12" s="47">
        <f t="shared" si="3"/>
        <v>35812.722583652801</v>
      </c>
      <c r="L12" s="47">
        <f t="shared" si="3"/>
        <v>42339.975015568467</v>
      </c>
      <c r="M12" s="47">
        <f t="shared" si="3"/>
        <v>50213.308093641856</v>
      </c>
    </row>
    <row r="13" spans="1:14" s="2" customFormat="1" x14ac:dyDescent="0.25">
      <c r="C13" s="33"/>
      <c r="D13" s="33"/>
      <c r="E13" s="33"/>
      <c r="F13" s="33"/>
      <c r="G13" s="33"/>
      <c r="H13" s="33"/>
    </row>
    <row r="14" spans="1:14" s="2" customFormat="1" x14ac:dyDescent="0.25">
      <c r="C14" s="33"/>
      <c r="D14" s="33"/>
      <c r="E14" s="33"/>
      <c r="F14" s="33"/>
      <c r="G14" s="33"/>
      <c r="H14" s="33"/>
    </row>
    <row r="15" spans="1:14" s="2" customFormat="1" x14ac:dyDescent="0.25">
      <c r="D15" s="29" t="s">
        <v>190</v>
      </c>
      <c r="E15" s="47">
        <v>602</v>
      </c>
      <c r="F15" s="45">
        <f>E15/$E$17</f>
        <v>0.49547325102880657</v>
      </c>
      <c r="G15" s="33"/>
      <c r="H15" s="33"/>
      <c r="I15" s="140"/>
      <c r="J15" s="94"/>
    </row>
    <row r="16" spans="1:14" s="2" customFormat="1" x14ac:dyDescent="0.25">
      <c r="D16" s="29" t="s">
        <v>191</v>
      </c>
      <c r="E16" s="47">
        <v>613</v>
      </c>
      <c r="F16" s="45">
        <f>E16/$E$17</f>
        <v>0.50452674897119343</v>
      </c>
      <c r="G16" s="33"/>
      <c r="H16" s="33"/>
      <c r="I16" s="141"/>
      <c r="J16" s="94"/>
    </row>
    <row r="17" spans="4:13" s="2" customFormat="1" ht="13.8" thickBot="1" x14ac:dyDescent="0.3">
      <c r="D17" s="29" t="s">
        <v>44</v>
      </c>
      <c r="E17" s="137">
        <f>SUM(E15:E16)</f>
        <v>1215</v>
      </c>
      <c r="F17" s="138">
        <f>SUM(F15:F16)</f>
        <v>1</v>
      </c>
      <c r="G17" s="33"/>
      <c r="H17" s="33"/>
      <c r="I17" s="140"/>
      <c r="J17" s="94"/>
    </row>
    <row r="18" spans="4:13" s="2" customFormat="1" ht="13.8" thickTop="1" x14ac:dyDescent="0.25">
      <c r="D18" s="29"/>
    </row>
    <row r="19" spans="4:13" s="2" customFormat="1" x14ac:dyDescent="0.25">
      <c r="D19" s="29"/>
    </row>
    <row r="20" spans="4:13" s="2" customFormat="1" x14ac:dyDescent="0.25">
      <c r="D20" s="24" t="s">
        <v>192</v>
      </c>
      <c r="E20" s="47">
        <v>182</v>
      </c>
      <c r="F20" s="45">
        <f>E20/$E$15</f>
        <v>0.30232558139534882</v>
      </c>
      <c r="G20" s="2" t="s">
        <v>193</v>
      </c>
    </row>
    <row r="21" spans="4:13" s="2" customFormat="1" x14ac:dyDescent="0.25">
      <c r="D21" s="24" t="s">
        <v>194</v>
      </c>
      <c r="E21" s="47">
        <v>169</v>
      </c>
      <c r="F21" s="45">
        <f>E21/$E$15</f>
        <v>0.28073089700996678</v>
      </c>
      <c r="G21" s="2" t="s">
        <v>193</v>
      </c>
    </row>
    <row r="22" spans="4:13" s="2" customFormat="1" x14ac:dyDescent="0.25">
      <c r="D22" s="29"/>
      <c r="E22" s="139"/>
      <c r="F22" s="94"/>
    </row>
    <row r="23" spans="4:13" s="2" customFormat="1" x14ac:dyDescent="0.25">
      <c r="E23" s="139"/>
      <c r="F23" s="94"/>
    </row>
    <row r="24" spans="4:13" s="2" customFormat="1" x14ac:dyDescent="0.25">
      <c r="D24" s="24" t="s">
        <v>195</v>
      </c>
      <c r="E24" s="46">
        <v>600</v>
      </c>
    </row>
    <row r="25" spans="4:13" s="2" customFormat="1" x14ac:dyDescent="0.25">
      <c r="D25" s="24" t="s">
        <v>196</v>
      </c>
      <c r="E25" s="46">
        <v>300</v>
      </c>
    </row>
    <row r="26" spans="4:13" s="2" customFormat="1" x14ac:dyDescent="0.25"/>
    <row r="27" spans="4:13" s="2" customFormat="1" x14ac:dyDescent="0.25"/>
    <row r="28" spans="4:13" s="2" customFormat="1" x14ac:dyDescent="0.25">
      <c r="E28" s="34">
        <v>2001</v>
      </c>
      <c r="F28" s="34">
        <v>2002</v>
      </c>
      <c r="G28" s="34">
        <v>2003</v>
      </c>
      <c r="H28" s="34">
        <v>2004</v>
      </c>
      <c r="I28" s="34">
        <v>2005</v>
      </c>
      <c r="J28" s="34">
        <v>2006</v>
      </c>
      <c r="K28" s="34">
        <v>2007</v>
      </c>
      <c r="L28" s="34">
        <v>2008</v>
      </c>
      <c r="M28" s="34">
        <v>2009</v>
      </c>
    </row>
    <row r="29" spans="4:13" s="2" customFormat="1" x14ac:dyDescent="0.25">
      <c r="D29" s="24" t="s">
        <v>197</v>
      </c>
      <c r="E29" s="46">
        <f>$E$24*E10</f>
        <v>146813.65958591018</v>
      </c>
      <c r="F29" s="46">
        <f t="shared" ref="F29:M29" si="4">$E$24*F10</f>
        <v>169162.70677070087</v>
      </c>
      <c r="G29" s="46">
        <f t="shared" si="4"/>
        <v>194092.77478371494</v>
      </c>
      <c r="H29" s="46">
        <f t="shared" si="4"/>
        <v>224540.39095258035</v>
      </c>
      <c r="I29" s="46">
        <f t="shared" si="4"/>
        <v>261612.2823825191</v>
      </c>
      <c r="J29" s="46">
        <f t="shared" si="4"/>
        <v>306599.70618991635</v>
      </c>
      <c r="K29" s="46">
        <f t="shared" si="4"/>
        <v>361053.72724200285</v>
      </c>
      <c r="L29" s="46">
        <f t="shared" si="4"/>
        <v>426837.66301630752</v>
      </c>
      <c r="M29" s="46">
        <f t="shared" si="4"/>
        <v>506189.41310938</v>
      </c>
    </row>
    <row r="30" spans="4:13" s="2" customFormat="1" x14ac:dyDescent="0.25">
      <c r="D30" s="24" t="s">
        <v>198</v>
      </c>
      <c r="E30" s="46">
        <f>$E$25*E11</f>
        <v>0</v>
      </c>
      <c r="F30" s="46">
        <f t="shared" ref="F30:M30" si="5">$E$25*F11</f>
        <v>68163.484807744011</v>
      </c>
      <c r="G30" s="46">
        <f t="shared" si="5"/>
        <v>78539.828143539693</v>
      </c>
      <c r="H30" s="46">
        <f t="shared" si="5"/>
        <v>90114.502578153362</v>
      </c>
      <c r="I30" s="46">
        <f t="shared" si="5"/>
        <v>104250.89579941232</v>
      </c>
      <c r="J30" s="46">
        <f t="shared" si="5"/>
        <v>121462.84539188388</v>
      </c>
      <c r="K30" s="46">
        <f t="shared" si="5"/>
        <v>142349.86358817545</v>
      </c>
      <c r="L30" s="46">
        <f t="shared" si="5"/>
        <v>167632.08764807277</v>
      </c>
      <c r="M30" s="46">
        <f t="shared" si="5"/>
        <v>198174.62925757136</v>
      </c>
    </row>
    <row r="31" spans="4:13" s="2" customFormat="1" ht="13.8" thickBot="1" x14ac:dyDescent="0.3">
      <c r="D31" s="29" t="s">
        <v>199</v>
      </c>
      <c r="E31" s="142">
        <f>SUM(E29:E30)</f>
        <v>146813.65958591018</v>
      </c>
      <c r="F31" s="142">
        <f t="shared" ref="F31:M31" si="6">SUM(F29:F30)</f>
        <v>237326.19157844488</v>
      </c>
      <c r="G31" s="142">
        <f t="shared" si="6"/>
        <v>272632.60292725463</v>
      </c>
      <c r="H31" s="142">
        <f t="shared" si="6"/>
        <v>314654.89353073371</v>
      </c>
      <c r="I31" s="142">
        <f t="shared" si="6"/>
        <v>365863.17818193143</v>
      </c>
      <c r="J31" s="142">
        <f t="shared" si="6"/>
        <v>428062.55158180022</v>
      </c>
      <c r="K31" s="142">
        <f t="shared" si="6"/>
        <v>503403.59083017829</v>
      </c>
      <c r="L31" s="142">
        <f t="shared" si="6"/>
        <v>594469.75066438026</v>
      </c>
      <c r="M31" s="142">
        <f t="shared" si="6"/>
        <v>704364.04236695135</v>
      </c>
    </row>
    <row r="32" spans="4:13" s="2" customFormat="1" ht="13.8" thickTop="1" x14ac:dyDescent="0.25"/>
    <row r="33" spans="3:13" s="2" customFormat="1" x14ac:dyDescent="0.25"/>
    <row r="34" spans="3:13" s="2" customFormat="1" x14ac:dyDescent="0.25">
      <c r="F34" s="65">
        <f>E10+F11</f>
        <v>471.90104866899702</v>
      </c>
      <c r="G34" s="65">
        <f t="shared" ref="G34:M34" si="7">F10+G11</f>
        <v>543.73727176296711</v>
      </c>
      <c r="H34" s="65">
        <f t="shared" si="7"/>
        <v>623.86963323336943</v>
      </c>
      <c r="I34" s="65">
        <f t="shared" si="7"/>
        <v>721.7369709190084</v>
      </c>
      <c r="J34" s="65">
        <f t="shared" si="7"/>
        <v>840.8966219438114</v>
      </c>
      <c r="K34" s="65">
        <f t="shared" si="7"/>
        <v>985.49905561044534</v>
      </c>
      <c r="L34" s="65">
        <f t="shared" si="7"/>
        <v>1160.5298375635807</v>
      </c>
      <c r="M34" s="65">
        <f t="shared" si="7"/>
        <v>1371.9782025524169</v>
      </c>
    </row>
    <row r="35" spans="3:13" s="2" customFormat="1" x14ac:dyDescent="0.25"/>
    <row r="36" spans="3:13" s="2" customFormat="1" x14ac:dyDescent="0.25"/>
    <row r="37" spans="3:13" s="2" customFormat="1" x14ac:dyDescent="0.25"/>
    <row r="38" spans="3:13" s="2" customFormat="1" x14ac:dyDescent="0.25"/>
    <row r="39" spans="3:13" s="2" customFormat="1" x14ac:dyDescent="0.25"/>
    <row r="40" spans="3:13" s="2" customFormat="1" x14ac:dyDescent="0.25">
      <c r="C40" s="33"/>
      <c r="D40" s="33"/>
      <c r="E40" s="33"/>
      <c r="F40" s="33"/>
      <c r="G40" s="33"/>
      <c r="H40" s="33"/>
    </row>
    <row r="41" spans="3:13" s="2" customFormat="1" x14ac:dyDescent="0.25">
      <c r="C41" s="33"/>
      <c r="D41" s="33"/>
      <c r="E41" s="33"/>
      <c r="F41" s="33"/>
      <c r="G41" s="33"/>
      <c r="H41" s="33"/>
    </row>
    <row r="42" spans="3:13" s="2" customFormat="1" x14ac:dyDescent="0.25">
      <c r="C42" s="33"/>
      <c r="D42" s="33"/>
      <c r="E42" s="33"/>
      <c r="F42" s="33"/>
      <c r="G42" s="33"/>
      <c r="H42" s="33"/>
    </row>
    <row r="43" spans="3:13" s="2" customFormat="1" x14ac:dyDescent="0.25">
      <c r="C43" s="33"/>
      <c r="D43" s="33"/>
      <c r="E43" s="33"/>
      <c r="F43" s="33"/>
      <c r="G43" s="33"/>
      <c r="H43" s="33"/>
    </row>
    <row r="44" spans="3:13" s="2" customFormat="1" x14ac:dyDescent="0.25">
      <c r="C44" s="33"/>
      <c r="D44" s="33"/>
      <c r="E44" s="33"/>
      <c r="F44" s="33"/>
      <c r="G44" s="33"/>
      <c r="H44" s="33"/>
    </row>
    <row r="45" spans="3:13" s="2" customFormat="1" x14ac:dyDescent="0.25">
      <c r="C45" s="33"/>
      <c r="D45" s="33"/>
      <c r="E45" s="33"/>
      <c r="F45" s="33"/>
      <c r="G45" s="33"/>
      <c r="H45" s="33"/>
    </row>
    <row r="46" spans="3:13" s="2" customFormat="1" x14ac:dyDescent="0.25">
      <c r="C46" s="33"/>
      <c r="D46" s="33"/>
      <c r="E46" s="33"/>
      <c r="F46" s="33"/>
      <c r="G46" s="33"/>
      <c r="H46" s="33"/>
    </row>
    <row r="47" spans="3:13" s="2" customFormat="1" x14ac:dyDescent="0.25">
      <c r="C47" s="33"/>
      <c r="D47" s="33"/>
      <c r="E47" s="33"/>
      <c r="F47" s="33"/>
      <c r="G47" s="33"/>
      <c r="H47" s="33"/>
    </row>
    <row r="48" spans="3:13" s="2" customFormat="1" x14ac:dyDescent="0.25">
      <c r="C48" s="33"/>
      <c r="D48" s="33"/>
      <c r="E48" s="33"/>
      <c r="F48" s="33"/>
      <c r="G48" s="33"/>
      <c r="H48" s="33"/>
    </row>
    <row r="49" spans="3:8" s="2" customFormat="1" x14ac:dyDescent="0.25">
      <c r="C49" s="33"/>
      <c r="D49" s="33"/>
      <c r="E49" s="33"/>
      <c r="F49" s="33"/>
      <c r="G49" s="33"/>
      <c r="H49" s="33"/>
    </row>
    <row r="50" spans="3:8" s="2" customFormat="1" x14ac:dyDescent="0.25">
      <c r="C50" s="33"/>
      <c r="D50" s="33"/>
      <c r="E50" s="33"/>
      <c r="F50" s="33"/>
      <c r="G50" s="33"/>
      <c r="H50" s="33"/>
    </row>
    <row r="51" spans="3:8" s="2" customFormat="1" x14ac:dyDescent="0.25">
      <c r="C51" s="33"/>
      <c r="D51" s="33"/>
      <c r="E51" s="33"/>
      <c r="F51" s="33"/>
      <c r="G51" s="33"/>
      <c r="H51" s="33"/>
    </row>
    <row r="52" spans="3:8" s="2" customFormat="1" x14ac:dyDescent="0.25">
      <c r="C52" s="33"/>
      <c r="D52" s="33"/>
      <c r="E52" s="33"/>
      <c r="F52" s="33"/>
      <c r="G52" s="33"/>
      <c r="H52" s="33"/>
    </row>
    <row r="53" spans="3:8" s="2" customFormat="1" x14ac:dyDescent="0.25">
      <c r="C53" s="33"/>
      <c r="D53" s="33"/>
      <c r="E53" s="33"/>
      <c r="F53" s="33"/>
      <c r="G53" s="33"/>
      <c r="H53" s="33"/>
    </row>
    <row r="54" spans="3:8" s="2" customFormat="1" x14ac:dyDescent="0.25">
      <c r="C54" s="33"/>
      <c r="D54" s="33"/>
      <c r="E54" s="33"/>
      <c r="F54" s="33"/>
      <c r="G54" s="33"/>
      <c r="H54" s="33"/>
    </row>
    <row r="55" spans="3:8" s="2" customFormat="1" x14ac:dyDescent="0.25">
      <c r="C55" s="33"/>
      <c r="D55" s="33"/>
      <c r="E55" s="33"/>
      <c r="F55" s="33"/>
      <c r="G55" s="33"/>
      <c r="H55" s="33"/>
    </row>
    <row r="56" spans="3:8" s="2" customFormat="1" x14ac:dyDescent="0.25">
      <c r="C56" s="33"/>
      <c r="D56" s="33"/>
      <c r="E56" s="33"/>
      <c r="F56" s="33"/>
      <c r="G56" s="33"/>
      <c r="H56" s="33"/>
    </row>
    <row r="57" spans="3:8" s="2" customFormat="1" x14ac:dyDescent="0.25">
      <c r="C57" s="33"/>
      <c r="D57" s="33"/>
      <c r="E57" s="33"/>
      <c r="F57" s="33"/>
      <c r="G57" s="33"/>
      <c r="H57" s="33"/>
    </row>
    <row r="58" spans="3:8" s="2" customFormat="1" x14ac:dyDescent="0.25">
      <c r="C58" s="33"/>
      <c r="D58" s="33"/>
      <c r="E58" s="33"/>
      <c r="F58" s="33"/>
      <c r="G58" s="33"/>
      <c r="H58" s="33"/>
    </row>
    <row r="59" spans="3:8" s="2" customFormat="1" x14ac:dyDescent="0.25">
      <c r="C59" s="33"/>
      <c r="D59" s="33"/>
      <c r="E59" s="33"/>
      <c r="F59" s="33"/>
      <c r="G59" s="33"/>
      <c r="H59" s="33"/>
    </row>
    <row r="60" spans="3:8" s="2" customFormat="1" x14ac:dyDescent="0.25">
      <c r="C60" s="33"/>
      <c r="D60" s="33"/>
      <c r="E60" s="33"/>
      <c r="F60" s="33"/>
      <c r="G60" s="33"/>
      <c r="H60" s="33"/>
    </row>
    <row r="61" spans="3:8" s="2" customFormat="1" x14ac:dyDescent="0.25">
      <c r="C61" s="33"/>
      <c r="D61" s="33"/>
      <c r="E61" s="33"/>
      <c r="F61" s="33"/>
      <c r="G61" s="33"/>
      <c r="H61" s="33"/>
    </row>
    <row r="62" spans="3:8" s="2" customFormat="1" x14ac:dyDescent="0.25">
      <c r="C62" s="33"/>
      <c r="D62" s="33"/>
      <c r="E62" s="33"/>
      <c r="F62" s="33"/>
      <c r="G62" s="33"/>
      <c r="H62" s="33"/>
    </row>
    <row r="63" spans="3:8" s="2" customFormat="1" x14ac:dyDescent="0.25">
      <c r="C63" s="33"/>
      <c r="D63" s="33"/>
      <c r="E63" s="33"/>
      <c r="F63" s="33"/>
      <c r="G63" s="33"/>
      <c r="H63" s="33"/>
    </row>
    <row r="64" spans="3:8" s="2" customFormat="1" x14ac:dyDescent="0.25">
      <c r="C64" s="33"/>
      <c r="D64" s="33"/>
      <c r="E64" s="33"/>
      <c r="F64" s="33"/>
      <c r="G64" s="33"/>
      <c r="H64" s="33"/>
    </row>
    <row r="65" spans="3:8" s="2" customFormat="1" x14ac:dyDescent="0.25">
      <c r="C65" s="33"/>
      <c r="D65" s="33"/>
      <c r="E65" s="33"/>
      <c r="F65" s="33"/>
      <c r="G65" s="33"/>
      <c r="H65" s="33"/>
    </row>
    <row r="66" spans="3:8" s="2" customFormat="1" x14ac:dyDescent="0.25">
      <c r="C66" s="33"/>
      <c r="D66" s="33"/>
      <c r="E66" s="33"/>
      <c r="F66" s="33"/>
      <c r="G66" s="33"/>
      <c r="H66" s="33"/>
    </row>
    <row r="67" spans="3:8" s="2" customFormat="1" x14ac:dyDescent="0.25">
      <c r="C67" s="33"/>
      <c r="D67" s="33"/>
      <c r="E67" s="33"/>
      <c r="F67" s="33"/>
      <c r="G67" s="33"/>
      <c r="H67" s="33"/>
    </row>
    <row r="68" spans="3:8" s="2" customFormat="1" x14ac:dyDescent="0.25">
      <c r="C68" s="33"/>
      <c r="D68" s="33"/>
      <c r="E68" s="33"/>
      <c r="F68" s="33"/>
      <c r="G68" s="33"/>
      <c r="H68" s="33"/>
    </row>
    <row r="69" spans="3:8" s="2" customFormat="1" x14ac:dyDescent="0.25">
      <c r="C69" s="33"/>
      <c r="D69" s="33"/>
      <c r="E69" s="33"/>
      <c r="F69" s="33"/>
      <c r="G69" s="33"/>
      <c r="H69" s="33"/>
    </row>
    <row r="70" spans="3:8" s="2" customFormat="1" x14ac:dyDescent="0.25">
      <c r="C70" s="33"/>
      <c r="D70" s="33"/>
      <c r="E70" s="33"/>
      <c r="F70" s="33"/>
      <c r="G70" s="33"/>
      <c r="H70" s="33"/>
    </row>
    <row r="71" spans="3:8" s="2" customFormat="1" x14ac:dyDescent="0.25">
      <c r="C71" s="33"/>
      <c r="D71" s="33"/>
      <c r="E71" s="33"/>
      <c r="F71" s="33"/>
      <c r="G71" s="33"/>
      <c r="H71" s="33"/>
    </row>
    <row r="72" spans="3:8" s="2" customFormat="1" x14ac:dyDescent="0.25">
      <c r="C72" s="33"/>
      <c r="D72" s="33"/>
      <c r="E72" s="33"/>
      <c r="F72" s="33"/>
      <c r="G72" s="33"/>
      <c r="H72" s="33"/>
    </row>
    <row r="73" spans="3:8" s="2" customFormat="1" x14ac:dyDescent="0.25">
      <c r="C73" s="33"/>
      <c r="D73" s="33"/>
      <c r="E73" s="33"/>
      <c r="F73" s="33"/>
      <c r="G73" s="33"/>
      <c r="H73" s="33"/>
    </row>
    <row r="74" spans="3:8" s="2" customFormat="1" x14ac:dyDescent="0.25">
      <c r="C74" s="33"/>
      <c r="D74" s="33"/>
      <c r="E74" s="33"/>
      <c r="F74" s="33"/>
      <c r="G74" s="33"/>
      <c r="H74" s="33"/>
    </row>
    <row r="75" spans="3:8" s="2" customFormat="1" x14ac:dyDescent="0.25">
      <c r="C75" s="33"/>
      <c r="D75" s="33"/>
      <c r="E75" s="33"/>
      <c r="F75" s="33"/>
      <c r="G75" s="33"/>
      <c r="H75" s="33"/>
    </row>
    <row r="76" spans="3:8" s="2" customFormat="1" x14ac:dyDescent="0.25">
      <c r="C76" s="33"/>
      <c r="D76" s="33"/>
      <c r="E76" s="33"/>
      <c r="F76" s="33"/>
      <c r="G76" s="33"/>
      <c r="H76" s="33"/>
    </row>
    <row r="77" spans="3:8" s="2" customFormat="1" x14ac:dyDescent="0.25">
      <c r="C77" s="33"/>
      <c r="D77" s="33"/>
      <c r="E77" s="33"/>
      <c r="F77" s="33"/>
      <c r="G77" s="33"/>
      <c r="H77" s="33"/>
    </row>
    <row r="78" spans="3:8" s="2" customFormat="1" x14ac:dyDescent="0.25">
      <c r="C78" s="33"/>
      <c r="D78" s="33"/>
      <c r="E78" s="33"/>
      <c r="F78" s="33"/>
      <c r="G78" s="33"/>
      <c r="H78" s="33"/>
    </row>
    <row r="79" spans="3:8" s="2" customFormat="1" x14ac:dyDescent="0.25">
      <c r="C79" s="33"/>
      <c r="D79" s="33"/>
      <c r="E79" s="33"/>
      <c r="F79" s="33"/>
      <c r="G79" s="33"/>
      <c r="H79" s="33"/>
    </row>
  </sheetData>
  <pageMargins left="0.75" right="0.75" top="1" bottom="1" header="0.5" footer="0.5"/>
  <pageSetup scale="8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>
    <row r="1" spans="1:1" s="19" customFormat="1" ht="21" x14ac:dyDescent="0.4">
      <c r="A1" s="18" t="str">
        <f>'Assum. used in model'!A1</f>
        <v>Enron PC and ISP Analysis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>
    <row r="1" spans="1:1" s="19" customFormat="1" ht="21" x14ac:dyDescent="0.4">
      <c r="A1" s="18" t="str">
        <f>'Assum. used in model'!A1</f>
        <v>Enron PC and ISP Analysis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Assum. used in model</vt:lpstr>
      <vt:lpstr>Cashflows</vt:lpstr>
      <vt:lpstr>Tax Scenarios</vt:lpstr>
      <vt:lpstr>Employee Reimbur.</vt:lpstr>
      <vt:lpstr>Sheet5</vt:lpstr>
      <vt:lpstr>Sheet6</vt:lpstr>
      <vt:lpstr>'Assum. used in model'!Print_Area</vt:lpstr>
      <vt:lpstr>Cashflows!Print_Area</vt:lpstr>
      <vt:lpstr>'Employee Reimbur.'!Print_Area</vt:lpstr>
      <vt:lpstr>'Tax Scenarios'!Print_Area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Dejoun Windless</dc:creator>
  <cp:lastModifiedBy>Havlíček Jan</cp:lastModifiedBy>
  <cp:lastPrinted>2000-06-20T22:01:02Z</cp:lastPrinted>
  <dcterms:created xsi:type="dcterms:W3CDTF">2000-04-20T18:56:24Z</dcterms:created>
  <dcterms:modified xsi:type="dcterms:W3CDTF">2023-09-10T11:38:32Z</dcterms:modified>
</cp:coreProperties>
</file>