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76" yWindow="4440" windowWidth="15336" windowHeight="4572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B53" i="2"/>
  <c r="C53" i="2"/>
  <c r="D53" i="2"/>
  <c r="E53" i="2"/>
  <c r="F53" i="2"/>
  <c r="G53" i="2"/>
  <c r="H53" i="2"/>
  <c r="I53" i="2"/>
  <c r="B54" i="2"/>
  <c r="C54" i="2"/>
  <c r="D54" i="2"/>
  <c r="E54" i="2"/>
  <c r="F54" i="2"/>
  <c r="G54" i="2"/>
  <c r="H54" i="2"/>
  <c r="I54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B68" i="2"/>
  <c r="C68" i="2"/>
  <c r="D68" i="2"/>
  <c r="E68" i="2"/>
  <c r="F68" i="2"/>
  <c r="G68" i="2"/>
  <c r="H68" i="2"/>
  <c r="I68" i="2"/>
  <c r="B69" i="2"/>
  <c r="C69" i="2"/>
  <c r="D69" i="2"/>
  <c r="E69" i="2"/>
  <c r="F69" i="2"/>
  <c r="G69" i="2"/>
  <c r="H69" i="2"/>
  <c r="I69" i="2"/>
  <c r="B70" i="2"/>
  <c r="C70" i="2"/>
  <c r="D70" i="2"/>
  <c r="E70" i="2"/>
  <c r="F70" i="2"/>
  <c r="G70" i="2"/>
  <c r="H70" i="2"/>
  <c r="I70" i="2"/>
  <c r="B71" i="2"/>
  <c r="C71" i="2"/>
  <c r="D71" i="2"/>
  <c r="E71" i="2"/>
  <c r="F71" i="2"/>
  <c r="G71" i="2"/>
  <c r="H71" i="2"/>
  <c r="I71" i="2"/>
  <c r="B72" i="2"/>
  <c r="C72" i="2"/>
  <c r="D72" i="2"/>
  <c r="E72" i="2"/>
  <c r="F72" i="2"/>
  <c r="G72" i="2"/>
  <c r="H72" i="2"/>
  <c r="I72" i="2"/>
  <c r="B73" i="2"/>
  <c r="C73" i="2"/>
  <c r="D73" i="2"/>
  <c r="E73" i="2"/>
  <c r="F73" i="2"/>
  <c r="G73" i="2"/>
  <c r="H73" i="2"/>
  <c r="I73" i="2"/>
  <c r="B74" i="2"/>
  <c r="C74" i="2"/>
  <c r="D74" i="2"/>
  <c r="E74" i="2"/>
  <c r="F74" i="2"/>
  <c r="G74" i="2"/>
  <c r="H74" i="2"/>
  <c r="I74" i="2"/>
  <c r="B75" i="2"/>
  <c r="C75" i="2"/>
  <c r="D75" i="2"/>
  <c r="E75" i="2"/>
  <c r="F75" i="2"/>
  <c r="G75" i="2"/>
  <c r="H75" i="2"/>
  <c r="I75" i="2"/>
  <c r="B76" i="2"/>
  <c r="C76" i="2"/>
  <c r="D76" i="2"/>
  <c r="E76" i="2"/>
  <c r="F76" i="2"/>
  <c r="G76" i="2"/>
  <c r="H76" i="2"/>
  <c r="I76" i="2"/>
  <c r="B77" i="2"/>
  <c r="C77" i="2"/>
  <c r="D77" i="2"/>
  <c r="E77" i="2"/>
  <c r="F77" i="2"/>
  <c r="G77" i="2"/>
  <c r="H77" i="2"/>
  <c r="I77" i="2"/>
  <c r="B78" i="2"/>
  <c r="C78" i="2"/>
  <c r="D78" i="2"/>
  <c r="E78" i="2"/>
  <c r="F78" i="2"/>
  <c r="G78" i="2"/>
  <c r="H78" i="2"/>
  <c r="I78" i="2"/>
  <c r="B79" i="2"/>
  <c r="C79" i="2"/>
  <c r="D79" i="2"/>
  <c r="E79" i="2"/>
  <c r="F79" i="2"/>
  <c r="G79" i="2"/>
  <c r="H79" i="2"/>
  <c r="I79" i="2"/>
  <c r="B80" i="2"/>
  <c r="C80" i="2"/>
  <c r="D80" i="2"/>
  <c r="E80" i="2"/>
  <c r="F80" i="2"/>
  <c r="G80" i="2"/>
  <c r="H80" i="2"/>
  <c r="I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<sst xmlns="http://schemas.openxmlformats.org/spreadsheetml/2006/main" count="121" uniqueCount="51">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</sst>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508196181163"/>
          <c:y val="7.5188084940263467E-2"/>
          <c:w val="0.8650409938075592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4-4419-89D4-CE912F36A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6205424"/>
        <c:axId val="1"/>
      </c:barChart>
      <c:catAx>
        <c:axId val="1862054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05424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45720</xdr:colOff>
      <xdr:row>0</xdr:row>
      <xdr:rowOff>167640</xdr:rowOff>
    </xdr:from>
    <xdr:to>
      <xdr:col>24</xdr:col>
      <xdr:colOff>358140</xdr:colOff>
      <xdr:row>17</xdr:row>
      <xdr:rowOff>60960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8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491.00</val>
          </value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1550.75</val>
          </value>
          <value t="str">
            <val>75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25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1553.00</val>
          </value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1529.50</val>
          </value>
          <value t="str">
            <val>1526.50</val>
          </value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1518.50</val>
          </value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1556.75</val>
          </value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1854.00</val>
          </value>
          <value t="str">
            <val>50  MAR</val>
          </value>
          <value t="str">
            <val>75  APR</val>
          </value>
          <value t="str">
            <val>25  MAY</val>
          </value>
          <value t="str">
            <val>75  JUN</val>
          </value>
          <value t="str">
            <val>25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1880.50</val>
          </value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1869.25</val>
          </value>
          <value t="str">
            <val>1867.75</val>
          </value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1861.25</val>
          </value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1860.50</val>
          </value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7856</val>
          </value>
          <value t="str">
            <val xml:space="preserve">70  </val>
          </value>
          <value t="str">
            <val xml:space="preserve">50  </val>
          </value>
          <value t="str">
            <val xml:space="preserve">95  </val>
          </value>
          <value t="str">
            <val xml:space="preserve">30  </val>
          </value>
          <value t="str">
            <val xml:space="preserve">65  </val>
          </value>
          <value t="str">
            <val xml:space="preserve">80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7870</val>
          </value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7420</val>
          </value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7085</val>
          </value>
          <value t="str">
            <val>7050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6865</val>
          </value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472.50</val>
          </value>
          <value t="str">
            <val>00  MA</val>
          </value>
          <value t="str">
            <val>75  AP</val>
          </value>
          <value t="str">
            <val>75  MA</val>
          </value>
          <value t="str">
            <val>25  JU</val>
          </value>
          <value t="str">
            <val>00  JU</val>
          </value>
          <value t="str">
            <val>25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476.00</val>
          </value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5260.00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5342.00</val>
          </value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5276.00</val>
          </value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1152.50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1164.50</val>
          </value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1152.50</val>
          </value>
          <value t="str">
            <val>1150.75</val>
          </value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1139.75</val>
          </value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1156.00</val>
          </value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27-07-2000"/>
      <sheetName val="MGPositions280700"/>
    </sheetNames>
    <sheetDataSet>
      <sheetData sheetId="0">
        <row r="7">
          <cell r="R7">
            <v>36708</v>
          </cell>
          <cell r="S7">
            <v>255921</v>
          </cell>
          <cell r="U7">
            <v>36708</v>
          </cell>
          <cell r="V7">
            <v>216648</v>
          </cell>
          <cell r="X7">
            <v>36708</v>
          </cell>
          <cell r="Y7">
            <v>112371</v>
          </cell>
          <cell r="AA7">
            <v>36708</v>
          </cell>
          <cell r="AB7">
            <v>2525</v>
          </cell>
          <cell r="AD7">
            <v>36708</v>
          </cell>
          <cell r="AE7">
            <v>896845</v>
          </cell>
          <cell r="AG7">
            <v>36708</v>
          </cell>
          <cell r="AH7">
            <v>1397</v>
          </cell>
          <cell r="AJ7">
            <v>36708</v>
          </cell>
          <cell r="AK7">
            <v>72637</v>
          </cell>
          <cell r="AM7">
            <v>36708</v>
          </cell>
          <cell r="AN7">
            <v>10223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-238471</v>
          </cell>
          <cell r="U8">
            <v>36739</v>
          </cell>
          <cell r="V8">
            <v>213861</v>
          </cell>
          <cell r="X8">
            <v>36739</v>
          </cell>
          <cell r="Y8">
            <v>-20836</v>
          </cell>
          <cell r="AA8">
            <v>36739</v>
          </cell>
          <cell r="AB8">
            <v>4864</v>
          </cell>
          <cell r="AD8">
            <v>36739</v>
          </cell>
          <cell r="AE8">
            <v>-130371</v>
          </cell>
          <cell r="AG8">
            <v>36739</v>
          </cell>
          <cell r="AH8">
            <v>452</v>
          </cell>
          <cell r="AJ8">
            <v>36739</v>
          </cell>
          <cell r="AK8">
            <v>33603</v>
          </cell>
          <cell r="AM8">
            <v>36739</v>
          </cell>
          <cell r="AN8">
            <v>-44915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65913</v>
          </cell>
          <cell r="U9">
            <v>36770</v>
          </cell>
          <cell r="V9">
            <v>-148630</v>
          </cell>
          <cell r="X9">
            <v>36770</v>
          </cell>
          <cell r="Y9">
            <v>1157</v>
          </cell>
          <cell r="AA9">
            <v>36770</v>
          </cell>
          <cell r="AB9">
            <v>4375</v>
          </cell>
          <cell r="AD9">
            <v>36770</v>
          </cell>
          <cell r="AE9">
            <v>-928737</v>
          </cell>
          <cell r="AG9">
            <v>36770</v>
          </cell>
          <cell r="AH9">
            <v>887</v>
          </cell>
          <cell r="AJ9">
            <v>36770</v>
          </cell>
          <cell r="AK9">
            <v>-56399</v>
          </cell>
          <cell r="AM9">
            <v>36770</v>
          </cell>
          <cell r="AN9">
            <v>-2605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46619</v>
          </cell>
          <cell r="U10">
            <v>36800</v>
          </cell>
          <cell r="V10">
            <v>-138999</v>
          </cell>
          <cell r="X10">
            <v>36800</v>
          </cell>
          <cell r="Y10">
            <v>15051</v>
          </cell>
          <cell r="AA10">
            <v>36800</v>
          </cell>
          <cell r="AB10">
            <v>271</v>
          </cell>
          <cell r="AD10">
            <v>36800</v>
          </cell>
          <cell r="AE10">
            <v>406417</v>
          </cell>
          <cell r="AG10">
            <v>36800</v>
          </cell>
          <cell r="AH10">
            <v>-697</v>
          </cell>
          <cell r="AJ10">
            <v>36800</v>
          </cell>
          <cell r="AK10">
            <v>874</v>
          </cell>
          <cell r="AM10">
            <v>36800</v>
          </cell>
          <cell r="AN10">
            <v>-107288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-36669</v>
          </cell>
          <cell r="U11">
            <v>36831</v>
          </cell>
          <cell r="V11">
            <v>2143</v>
          </cell>
          <cell r="X11">
            <v>36831</v>
          </cell>
          <cell r="Y11">
            <v>3098</v>
          </cell>
          <cell r="AA11">
            <v>36831</v>
          </cell>
          <cell r="AB11">
            <v>-928</v>
          </cell>
          <cell r="AD11">
            <v>36831</v>
          </cell>
          <cell r="AE11">
            <v>720273</v>
          </cell>
          <cell r="AG11">
            <v>36831</v>
          </cell>
          <cell r="AH11">
            <v>-162</v>
          </cell>
          <cell r="AJ11">
            <v>36831</v>
          </cell>
          <cell r="AK11">
            <v>-8646</v>
          </cell>
          <cell r="AM11">
            <v>36831</v>
          </cell>
          <cell r="AN11">
            <v>-8359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-70182</v>
          </cell>
          <cell r="U12">
            <v>36861</v>
          </cell>
          <cell r="V12">
            <v>57149</v>
          </cell>
          <cell r="X12">
            <v>36861</v>
          </cell>
          <cell r="Y12">
            <v>-6597</v>
          </cell>
          <cell r="AA12">
            <v>36861</v>
          </cell>
          <cell r="AB12">
            <v>1390</v>
          </cell>
          <cell r="AD12">
            <v>36861</v>
          </cell>
          <cell r="AE12">
            <v>-1245584</v>
          </cell>
          <cell r="AG12">
            <v>36861</v>
          </cell>
          <cell r="AH12">
            <v>-301</v>
          </cell>
          <cell r="AJ12">
            <v>36861</v>
          </cell>
          <cell r="AK12">
            <v>-5422</v>
          </cell>
          <cell r="AM12">
            <v>36861</v>
          </cell>
          <cell r="AN12">
            <v>42986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9756</v>
          </cell>
          <cell r="U13">
            <v>36892</v>
          </cell>
          <cell r="V13">
            <v>12286</v>
          </cell>
          <cell r="X13">
            <v>36892</v>
          </cell>
          <cell r="Y13">
            <v>-19016</v>
          </cell>
          <cell r="AA13">
            <v>36892</v>
          </cell>
          <cell r="AB13">
            <v>609</v>
          </cell>
          <cell r="AD13">
            <v>36892</v>
          </cell>
          <cell r="AE13">
            <v>153681</v>
          </cell>
          <cell r="AG13">
            <v>36892</v>
          </cell>
          <cell r="AH13">
            <v>-32</v>
          </cell>
          <cell r="AJ13">
            <v>36892</v>
          </cell>
          <cell r="AK13">
            <v>-320</v>
          </cell>
          <cell r="AM13">
            <v>36892</v>
          </cell>
          <cell r="AN13">
            <v>33855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-10960</v>
          </cell>
          <cell r="U14">
            <v>36923</v>
          </cell>
          <cell r="V14">
            <v>-1101</v>
          </cell>
          <cell r="X14">
            <v>36923</v>
          </cell>
          <cell r="Y14">
            <v>-7677</v>
          </cell>
          <cell r="AA14">
            <v>36923</v>
          </cell>
          <cell r="AB14">
            <v>87</v>
          </cell>
          <cell r="AD14">
            <v>36923</v>
          </cell>
          <cell r="AE14">
            <v>-38742</v>
          </cell>
          <cell r="AG14">
            <v>36923</v>
          </cell>
          <cell r="AH14">
            <v>-29</v>
          </cell>
          <cell r="AJ14">
            <v>36923</v>
          </cell>
          <cell r="AK14">
            <v>-294</v>
          </cell>
          <cell r="AM14">
            <v>36923</v>
          </cell>
          <cell r="AN14">
            <v>6558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-12675</v>
          </cell>
          <cell r="U15">
            <v>36951</v>
          </cell>
          <cell r="V15">
            <v>-39810</v>
          </cell>
          <cell r="X15">
            <v>36951</v>
          </cell>
          <cell r="Y15">
            <v>-11136</v>
          </cell>
          <cell r="AA15">
            <v>36951</v>
          </cell>
          <cell r="AB15">
            <v>553</v>
          </cell>
          <cell r="AD15">
            <v>36951</v>
          </cell>
          <cell r="AE15">
            <v>185285</v>
          </cell>
          <cell r="AG15">
            <v>36951</v>
          </cell>
          <cell r="AH15">
            <v>-102</v>
          </cell>
          <cell r="AJ15">
            <v>36951</v>
          </cell>
          <cell r="AK15">
            <v>-4509</v>
          </cell>
          <cell r="AM15">
            <v>36951</v>
          </cell>
          <cell r="AN15">
            <v>17651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-10604</v>
          </cell>
          <cell r="U16">
            <v>36982</v>
          </cell>
          <cell r="V16">
            <v>-32512</v>
          </cell>
          <cell r="X16">
            <v>36982</v>
          </cell>
          <cell r="Y16">
            <v>-1808</v>
          </cell>
          <cell r="AA16">
            <v>36982</v>
          </cell>
          <cell r="AB16">
            <v>649</v>
          </cell>
          <cell r="AD16">
            <v>36982</v>
          </cell>
          <cell r="AE16">
            <v>14049</v>
          </cell>
          <cell r="AG16">
            <v>36982</v>
          </cell>
          <cell r="AH16">
            <v>-6</v>
          </cell>
          <cell r="AJ16">
            <v>36982</v>
          </cell>
          <cell r="AK16">
            <v>-1628</v>
          </cell>
          <cell r="AM16">
            <v>36982</v>
          </cell>
          <cell r="AN16">
            <v>22827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-2311</v>
          </cell>
          <cell r="U17">
            <v>37012</v>
          </cell>
          <cell r="V17">
            <v>7252</v>
          </cell>
          <cell r="X17">
            <v>37012</v>
          </cell>
          <cell r="Y17">
            <v>-6879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-4120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-6235</v>
          </cell>
          <cell r="U18">
            <v>37043</v>
          </cell>
          <cell r="V18">
            <v>1234</v>
          </cell>
          <cell r="X18">
            <v>37043</v>
          </cell>
          <cell r="Y18">
            <v>-9697</v>
          </cell>
          <cell r="AA18">
            <v>37043</v>
          </cell>
          <cell r="AB18">
            <v>2074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1333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-6868</v>
          </cell>
          <cell r="U19">
            <v>37073</v>
          </cell>
          <cell r="V19">
            <v>1204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-4476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436</v>
          </cell>
          <cell r="U20">
            <v>37104</v>
          </cell>
          <cell r="V20">
            <v>-1856</v>
          </cell>
          <cell r="X20">
            <v>37104</v>
          </cell>
          <cell r="Y20">
            <v>-2975</v>
          </cell>
          <cell r="AA20">
            <v>37104</v>
          </cell>
          <cell r="AB20">
            <v>-72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-7851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-1904</v>
          </cell>
          <cell r="U21">
            <v>37135</v>
          </cell>
          <cell r="V21">
            <v>-6723</v>
          </cell>
          <cell r="X21">
            <v>37135</v>
          </cell>
          <cell r="Y21">
            <v>-1075</v>
          </cell>
          <cell r="AA21">
            <v>37135</v>
          </cell>
          <cell r="AB21">
            <v>-342</v>
          </cell>
          <cell r="AD21">
            <v>37135</v>
          </cell>
          <cell r="AE21">
            <v>9163</v>
          </cell>
          <cell r="AJ21">
            <v>37135</v>
          </cell>
          <cell r="AK21">
            <v>-1365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1973</v>
          </cell>
          <cell r="U22">
            <v>37165</v>
          </cell>
          <cell r="V22">
            <v>-42</v>
          </cell>
          <cell r="X22">
            <v>37165</v>
          </cell>
          <cell r="Y22">
            <v>-200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-3510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9229</v>
          </cell>
          <cell r="U23">
            <v>37196</v>
          </cell>
          <cell r="V23">
            <v>-4887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-4278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-26537</v>
          </cell>
          <cell r="U24">
            <v>37226</v>
          </cell>
          <cell r="V24">
            <v>-110978</v>
          </cell>
          <cell r="X24">
            <v>37226</v>
          </cell>
          <cell r="Y24">
            <v>925</v>
          </cell>
          <cell r="AA24">
            <v>37226</v>
          </cell>
          <cell r="AB24">
            <v>-10403</v>
          </cell>
          <cell r="AD24">
            <v>37226</v>
          </cell>
          <cell r="AE24">
            <v>0</v>
          </cell>
          <cell r="AJ24">
            <v>37226</v>
          </cell>
          <cell r="AK24">
            <v>3841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38399</v>
          </cell>
          <cell r="U25">
            <v>37257</v>
          </cell>
          <cell r="V25">
            <v>-890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4238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15112</v>
          </cell>
          <cell r="U26">
            <v>37288</v>
          </cell>
          <cell r="V26">
            <v>-186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-786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21922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2840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5284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-1110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4857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-27335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2621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-14376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39917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-388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223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3461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227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-12647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232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-1153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236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-5774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-5706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-14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-26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-58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-10040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-6925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-81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539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530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500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B1" workbookViewId="0">
      <selection activeCell="E16" sqref="E16"/>
    </sheetView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5" width="21.109375" style="26" bestFit="1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-451171.6446194264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8"/>
      <c r="H14" s="138" t="s">
        <v>31</v>
      </c>
      <c r="I14" s="144"/>
      <c r="J14" s="139">
        <v>2</v>
      </c>
      <c r="K14" s="239">
        <v>-2202189.1007951242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3"/>
      <c r="G15" s="172"/>
      <c r="H15" s="138" t="s">
        <v>32</v>
      </c>
      <c r="I15" s="144"/>
      <c r="J15" s="139">
        <v>3</v>
      </c>
      <c r="K15" s="239">
        <v>-402843.47285670851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3"/>
      <c r="H16" s="138" t="s">
        <v>33</v>
      </c>
      <c r="I16" s="144"/>
      <c r="J16" s="139">
        <v>4</v>
      </c>
      <c r="K16" s="239">
        <v>-2375103.887945029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-17834.051302379838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-56396.85158505867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-368406.12361696648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-94135.755108412734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4.4" x14ac:dyDescent="0.3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-511634.03757679829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4.4" x14ac:dyDescent="0.3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-880.01809317328298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-4488663.6179307988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2" sqref="C2"/>
    </sheetView>
  </sheetViews>
  <sheetFormatPr defaultColWidth="9.109375" defaultRowHeight="13.2" x14ac:dyDescent="0.25"/>
  <cols>
    <col min="1" max="1" width="3.109375" style="12" customWidth="1"/>
    <col min="2" max="2" width="10.5546875" style="213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6"/>
    <col min="14" max="14" width="9.6640625" style="226" customWidth="1"/>
    <col min="15" max="15" width="9.109375" style="226"/>
    <col min="16" max="16" width="9.109375" style="227"/>
    <col min="17" max="17" width="9.109375" style="217"/>
    <col min="18" max="18" width="9.109375" style="228"/>
    <col min="19" max="19" width="9.109375" style="226"/>
    <col min="20" max="20" width="9.109375" style="217"/>
    <col min="21" max="22" width="9.109375" style="226"/>
    <col min="23" max="26" width="9.109375" style="229"/>
    <col min="27" max="27" width="9.109375" style="226"/>
    <col min="28" max="28" width="11.6640625" style="229" customWidth="1"/>
    <col min="29" max="29" width="9.109375" style="226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3">
        <f>DATE(YEAR(Inputs!$K$7),MONTH(Inputs!$K$7)+1,1)</f>
        <v>36708</v>
      </c>
      <c r="C2" s="212" t="str">
        <f>[1]!'MAL/CLS1 4 12 7 23'</f>
        <v>1551.25</v>
      </c>
      <c r="D2" s="212" t="str">
        <f>[1]!'MCU/CLS1 4 12 7 23'</f>
        <v>1854.00</v>
      </c>
      <c r="E2" s="212" t="str">
        <f>[1]!'MPB/CLS1 4 12 6 23'</f>
        <v>468.50</v>
      </c>
      <c r="F2" s="123" t="str">
        <f>[1]!'MNI/CLS1 4 12 4 23'</f>
        <v>7670</v>
      </c>
      <c r="G2" s="212">
        <f>[1]!'MAG/CLS1 4 12 6 23'/100</f>
        <v>4.9000000000000004</v>
      </c>
      <c r="H2" s="212" t="str">
        <f>[1]!'MSN/CLS1 4 12 7 23'</f>
        <v>5270.00</v>
      </c>
      <c r="I2" s="212" t="str">
        <f>[1]!'MZN/CLS1 4 12 7 23'</f>
        <v>1161.00</v>
      </c>
      <c r="J2" s="248">
        <v>279.7</v>
      </c>
      <c r="K2" s="249">
        <v>847</v>
      </c>
      <c r="L2" s="212">
        <v>87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v>0.18751200041190122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5">
      <c r="B3" s="213">
        <f>DATE(YEAR(B2),MONTH(B2)+1,1)</f>
        <v>36739</v>
      </c>
      <c r="C3" s="212" t="str">
        <f>[1]!'MAL/CLS1 5 7 7 23'</f>
        <v>1556.75</v>
      </c>
      <c r="D3" s="212" t="str">
        <f>[1]!'MCU/CLS1 5 7 7 23'</f>
        <v>1859.75</v>
      </c>
      <c r="E3" s="212" t="str">
        <f>[1]!'MPB/CLS1 5 8 6 23'</f>
        <v>471.75</v>
      </c>
      <c r="F3" s="123" t="str">
        <f>[1]!'MNI/CLS1 5 10 4 23'</f>
        <v>7685</v>
      </c>
      <c r="G3" s="212">
        <f>[1]!'MAG/CLS1 5 7 7 23'/100</f>
        <v>4.91</v>
      </c>
      <c r="H3" s="212" t="str">
        <f>[1]!'MSN/CLS1 5 7 7 23'</f>
        <v>5284.00</v>
      </c>
      <c r="I3" s="212" t="str">
        <f>[1]!'MZN/CLS1 5 7 7 23'</f>
        <v>1164.25</v>
      </c>
      <c r="J3" s="248">
        <v>279.7</v>
      </c>
      <c r="K3" s="249">
        <v>847</v>
      </c>
      <c r="L3" s="212">
        <v>87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v>0.18448491954760868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3">
        <f t="shared" ref="B4:B19" si="0">DATE(YEAR(B3),MONTH(B3)+1,1)</f>
        <v>36770</v>
      </c>
      <c r="C4" s="212" t="str">
        <f>[1]!'MAL/CLS1 6 7 7 23'</f>
        <v>1566.75</v>
      </c>
      <c r="D4" s="212" t="str">
        <f>[1]!'MCU/CLS1 6 7 7 23'</f>
        <v>1871.00</v>
      </c>
      <c r="E4" s="212" t="str">
        <f>[1]!'MPB/CLS1 6 8 6 23'</f>
        <v>475.75</v>
      </c>
      <c r="F4" s="123" t="str">
        <f>[1]!'MNI/CLS1 6 10 4 23'</f>
        <v>7670</v>
      </c>
      <c r="G4" s="212">
        <f>[1]!'MAG/CLS1 6 7 7 23'/100</f>
        <v>4.93</v>
      </c>
      <c r="H4" s="212" t="str">
        <f>[1]!'MSN/CLS1 6 7 7 23'</f>
        <v>5298.00</v>
      </c>
      <c r="I4" s="212" t="str">
        <f>[1]!'MZN/CLS1 6 7 7 23'</f>
        <v>1173.00</v>
      </c>
      <c r="J4" s="248">
        <v>282.89999999999998</v>
      </c>
      <c r="K4" s="249">
        <v>885</v>
      </c>
      <c r="L4" s="212">
        <v>87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v>0.18169266792017938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5">
      <c r="B5" s="213">
        <f t="shared" si="0"/>
        <v>36800</v>
      </c>
      <c r="C5" s="212" t="str">
        <f>[1]!'MAL/CLS1 7 7 7 23'</f>
        <v>1569.75</v>
      </c>
      <c r="D5" s="212" t="str">
        <f>[1]!'MCU/CLS1 7 7 7 23'</f>
        <v>1878.25</v>
      </c>
      <c r="E5" s="212" t="str">
        <f>[1]!'MPB/CLS1 6 8 6 23'</f>
        <v>475.75</v>
      </c>
      <c r="F5" s="123" t="str">
        <f>[1]!'MNI/CLS1 7 10 4 23'</f>
        <v>7625</v>
      </c>
      <c r="G5" s="212">
        <f>[1]!'MAG/CLS1 7 7 7 23'/100</f>
        <v>4.9450000000000003</v>
      </c>
      <c r="H5" s="212" t="str">
        <f>[1]!'MSN/CLS1 7 7 7 23'</f>
        <v>5309.00</v>
      </c>
      <c r="I5" s="212" t="str">
        <f>[1]!'MZN/CLS1 7 7 7 23'</f>
        <v>1172.00</v>
      </c>
      <c r="J5" s="248">
        <v>282.89999999999998</v>
      </c>
      <c r="K5" s="249">
        <v>885</v>
      </c>
      <c r="L5" s="212">
        <v>87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v>0.17861717366587657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5">
      <c r="B6" s="213">
        <f t="shared" si="0"/>
        <v>36831</v>
      </c>
      <c r="C6" s="212" t="str">
        <f>[1]!'MAL/CLS1 8 7 7 23'</f>
        <v>1571.50</v>
      </c>
      <c r="D6" s="212" t="str">
        <f>[1]!'MCU/CLS1 8 7 7 23'</f>
        <v>1883.00</v>
      </c>
      <c r="E6" s="212" t="str">
        <f>[1]!'MPB/CLS1 8 8 6 23'</f>
        <v>480.00</v>
      </c>
      <c r="F6" s="123" t="str">
        <f>[1]!'MNI/CLS1 8 10 4 23'</f>
        <v>7570</v>
      </c>
      <c r="G6" s="212">
        <f>[1]!'MAG/CLS1 8 7 7 23'/100</f>
        <v>4.95</v>
      </c>
      <c r="H6" s="212" t="str">
        <f>[1]!'MSN/CLS1 8 7 7 23'</f>
        <v>5318.00</v>
      </c>
      <c r="I6" s="212" t="str">
        <f>[1]!'MZN/CLS1 8 7 7 23'</f>
        <v>1172.75</v>
      </c>
      <c r="J6" s="248">
        <v>285.89999999999998</v>
      </c>
      <c r="K6" s="249">
        <v>920</v>
      </c>
      <c r="L6" s="212">
        <v>87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v>0.17667788430408912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5">
      <c r="B7" s="213">
        <f t="shared" si="0"/>
        <v>36861</v>
      </c>
      <c r="C7" s="212" t="str">
        <f>[1]!'MAL/CLS1 9 7 7 23'</f>
        <v>1568.50</v>
      </c>
      <c r="D7" s="212" t="str">
        <f>[1]!'MCU/CLS1 9 7 7 23'</f>
        <v>1885.50</v>
      </c>
      <c r="E7" s="212" t="str">
        <f>[1]!'MPB/CLS1 9 8 6 23'</f>
        <v>481.50</v>
      </c>
      <c r="F7" s="123" t="str">
        <f>[1]!'MNI/CLS1 9 10 4 23'</f>
        <v>7515</v>
      </c>
      <c r="G7" s="212">
        <f>[1]!'MAG/CLS1 9 7 7 23'/100</f>
        <v>4.95</v>
      </c>
      <c r="H7" s="212" t="str">
        <f>[1]!'MSN/CLS1 9 7 7 23'</f>
        <v>5328.00</v>
      </c>
      <c r="I7" s="212" t="str">
        <f>[1]!'MZN/CLS1 9 7 7 23'</f>
        <v>1173.50</v>
      </c>
      <c r="J7" s="248">
        <v>285.89999999999998</v>
      </c>
      <c r="K7" s="249">
        <v>920</v>
      </c>
      <c r="L7" s="212">
        <v>87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v>0.17470084459759788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3">
        <f t="shared" si="0"/>
        <v>36892</v>
      </c>
      <c r="C8" s="212" t="str">
        <f>[1]!'MAL/CLS1 10 7 7 23'</f>
        <v>1561.50</v>
      </c>
      <c r="D8" s="212" t="str">
        <f>[1]!'MCU/CLS1 10 7 7 23'</f>
        <v>1883.25</v>
      </c>
      <c r="E8" s="212" t="str">
        <f>[1]!'MPB/CLS1 10 8 6 23'</f>
        <v>482.75</v>
      </c>
      <c r="F8" s="123" t="str">
        <f>[1]!'MNI/CLS1 10 10 4 23'</f>
        <v>7430</v>
      </c>
      <c r="G8" s="212">
        <f>[1]!'MAG/CLS1 10 7 7 23'/100</f>
        <v>4.95</v>
      </c>
      <c r="H8" s="212" t="str">
        <f>[1]!'MSN/CLS1 10 7 7 23'</f>
        <v>5335.00</v>
      </c>
      <c r="I8" s="212" t="str">
        <f>[1]!'MZN/CLS1 10 7 7 23'</f>
        <v>1171.75</v>
      </c>
      <c r="J8" s="248">
        <v>288.5</v>
      </c>
      <c r="K8" s="249">
        <v>943</v>
      </c>
      <c r="L8" s="212">
        <v>87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v>0.17158828648111807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3">
        <f t="shared" si="0"/>
        <v>36923</v>
      </c>
      <c r="C9" s="212" t="str">
        <f>[1]!'MAL/CLS1 11 7 7 23'</f>
        <v>1556.75</v>
      </c>
      <c r="D9" s="212" t="str">
        <f>[1]!'MCU/CLS1 11 7 7 23'</f>
        <v>1881.00</v>
      </c>
      <c r="E9" s="212" t="str">
        <f>[1]!'MPB/CLS1 11 8 6 23'</f>
        <v>483.75</v>
      </c>
      <c r="F9" s="123" t="str">
        <f>[1]!'MNI/CLS1 11 10 4 23'</f>
        <v>7345</v>
      </c>
      <c r="G9" s="212">
        <f>[1]!'MAG/CLS1 11 7 7 23'/100</f>
        <v>4.95</v>
      </c>
      <c r="H9" s="212" t="str">
        <f>[1]!'MSN/CLS1 11 7 7 23'</f>
        <v>5341.00</v>
      </c>
      <c r="I9" s="212" t="str">
        <f>[1]!'MZN/CLS1 11 7 7 23'</f>
        <v>1170.00</v>
      </c>
      <c r="J9" s="248">
        <v>288.5</v>
      </c>
      <c r="K9" s="249">
        <v>943</v>
      </c>
      <c r="L9" s="212">
        <v>87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v>0.16810438813246856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3">
        <f t="shared" si="0"/>
        <v>36951</v>
      </c>
      <c r="C10" s="212" t="str">
        <f>[1]!'MAL/CLS1 5 23 7 23'</f>
        <v>1552.00</v>
      </c>
      <c r="D10" s="212" t="str">
        <f>[1]!'MCU/CLS1 5 23 7 23'</f>
        <v>1878.75</v>
      </c>
      <c r="E10" s="212" t="str">
        <f>[1]!'MPB/CLS1 5 24 6 23'</f>
        <v>484.75</v>
      </c>
      <c r="F10" s="123" t="str">
        <f>[1]!'MNI/CLS1 5 26 4 23'</f>
        <v>7270</v>
      </c>
      <c r="G10" s="212">
        <f>[1]!'MAG/CLS1 5 23 7 23'/100</f>
        <v>4.95</v>
      </c>
      <c r="H10" s="212" t="str">
        <f>[1]!'MSN/CLS1 5 23 7 23'</f>
        <v>5347.00</v>
      </c>
      <c r="I10" s="212" t="str">
        <f>[1]!'MZN/CLS1 5 23 7 23'</f>
        <v>1168.25</v>
      </c>
      <c r="J10" s="248">
        <v>291.10000000000002</v>
      </c>
      <c r="K10" s="249">
        <v>967</v>
      </c>
      <c r="L10" s="212">
        <v>87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v>0.16511981384382549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3">
        <f t="shared" si="0"/>
        <v>36982</v>
      </c>
      <c r="C11" s="212" t="str">
        <f>[1]!'MAL/CLS1 6 23 7 23'</f>
        <v>1547.25</v>
      </c>
      <c r="D11" s="212" t="str">
        <f>[1]!'MCU/CLS1 6 23 7 23'</f>
        <v>1877.00</v>
      </c>
      <c r="E11" s="212" t="str">
        <f>[1]!'MPB/CLS1 6 24 6 23'</f>
        <v>485.75</v>
      </c>
      <c r="F11" s="123" t="str">
        <f>[1]!'MNI/CLS1 6 26 4 23'</f>
        <v>7210</v>
      </c>
      <c r="G11" s="212">
        <f>[1]!'MAG/CLS1 6 23 7 23'/100</f>
        <v>4.95</v>
      </c>
      <c r="H11" s="212" t="str">
        <f>[1]!'MSN/CLS1 6 23 7 23'</f>
        <v>5353.00</v>
      </c>
      <c r="I11" s="212" t="str">
        <f>[1]!'MZN/CLS1 6 23 7 23'</f>
        <v>1166.50</v>
      </c>
      <c r="J11" s="248">
        <v>291.10000000000002</v>
      </c>
      <c r="K11" s="249">
        <v>967</v>
      </c>
      <c r="L11" s="212">
        <v>87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v>0.16241794916088903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3">
        <f t="shared" si="0"/>
        <v>37012</v>
      </c>
      <c r="C12" s="212" t="str">
        <f>[1]!'MAL/CLS1 7 23 7 23'</f>
        <v>1543.00</v>
      </c>
      <c r="D12" s="212" t="str">
        <f>[1]!'MCU/CLS1 7 23 7 23'</f>
        <v>1875.25</v>
      </c>
      <c r="E12" s="212" t="str">
        <f>[1]!'MPB/CLS1 6 24 6 23'</f>
        <v>485.75</v>
      </c>
      <c r="F12" s="123" t="str">
        <f>[1]!'MNI/CLS1 7 26 4 23'</f>
        <v>7155</v>
      </c>
      <c r="G12" s="212">
        <f>[1]!'MAG/CLS1 7 23 7 23'/100</f>
        <v>4.95</v>
      </c>
      <c r="H12" s="212" t="str">
        <f>[1]!'MSN/CLS1 7 23 7 23'</f>
        <v>5359.00</v>
      </c>
      <c r="I12" s="212" t="str">
        <f>[1]!'MZN/CLS1 7 23 7 23'</f>
        <v>1164.75</v>
      </c>
      <c r="J12" s="248">
        <v>293.60000000000002</v>
      </c>
      <c r="K12" s="249">
        <v>993</v>
      </c>
      <c r="L12" s="212">
        <v>87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v>0.16012945708088988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3">
        <f t="shared" si="0"/>
        <v>37043</v>
      </c>
      <c r="C13" s="212" t="str">
        <f>[1]!'MAL/CLS1 8 23 7 23'</f>
        <v>1538.75</v>
      </c>
      <c r="D13" s="212" t="str">
        <f>[1]!'MCU/CLS1 8 23 7 23'</f>
        <v>1873.50</v>
      </c>
      <c r="E13" s="212" t="str">
        <f>[1]!'MPB/CLS1 8 24 6 23'</f>
        <v>487.75</v>
      </c>
      <c r="F13" s="123" t="str">
        <f>[1]!'MNI/CLS1 8 26 4 23'</f>
        <v>7105</v>
      </c>
      <c r="G13" s="212">
        <f>[1]!'MAG/CLS1 8 23 7 23'/100</f>
        <v>4.95</v>
      </c>
      <c r="H13" s="212" t="str">
        <f>[1]!'MSN/CLS1 8 23 7 23'</f>
        <v>5365.00</v>
      </c>
      <c r="I13" s="212" t="str">
        <f>[1]!'MZN/CLS1 8 23 7 23'</f>
        <v>1163.00</v>
      </c>
      <c r="J13" s="248">
        <v>293.60000000000002</v>
      </c>
      <c r="K13" s="249">
        <v>993</v>
      </c>
      <c r="L13" s="212">
        <v>87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v>0.15826371672247866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3">
        <f t="shared" si="0"/>
        <v>37073</v>
      </c>
      <c r="C14" s="212" t="str">
        <f>[1]!'MAL/CLS1 9 23 7 23'</f>
        <v>1535.75</v>
      </c>
      <c r="D14" s="212" t="str">
        <f>[1]!'MCU/CLS1 9 23 7 23'</f>
        <v>1871.75</v>
      </c>
      <c r="E14" s="212" t="str">
        <f>[1]!'MPB/CLS1 9 24 6 23'</f>
        <v>488.75</v>
      </c>
      <c r="F14" s="123" t="str">
        <f>[1]!'MNI/CLS1 9 26 4 23'</f>
        <v>7055</v>
      </c>
      <c r="G14" s="212">
        <f>[1]!'MAG/CLS1 9 23 7 23'/100</f>
        <v>4.95</v>
      </c>
      <c r="H14" s="212" t="str">
        <f>[1]!'MSN/CLS1 9 23 7 23'</f>
        <v>5370.00</v>
      </c>
      <c r="I14" s="212" t="str">
        <f>[1]!'MZN/CLS1 9 23 7 23'</f>
        <v>1161.25</v>
      </c>
      <c r="J14" s="248">
        <v>296.2</v>
      </c>
      <c r="K14" s="249">
        <v>1028</v>
      </c>
      <c r="L14" s="212">
        <v>87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v>0.15698782789477855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3">
        <f t="shared" si="0"/>
        <v>37104</v>
      </c>
      <c r="C15" s="212" t="str">
        <f>[1]!'MAL/CLS1 10 23 7 23'</f>
        <v>1532.75</v>
      </c>
      <c r="D15" s="212" t="str">
        <f>[1]!'MCU/CLS1 10 23 7 23'</f>
        <v>1870.00</v>
      </c>
      <c r="E15" s="212" t="str">
        <f>[1]!'MPB/CLS1 10 24 6 23'</f>
        <v>489.75</v>
      </c>
      <c r="F15" s="123" t="str">
        <f>[1]!'MNI/CLS1 10 26 4 23'</f>
        <v>7010</v>
      </c>
      <c r="G15" s="212">
        <f>[1]!'MAG/CLS1 10 23 7 23'/100</f>
        <v>4.95</v>
      </c>
      <c r="H15" s="212" t="str">
        <f>[1]!'MSN/CLS1 10 23 7 23'</f>
        <v>5375.00</v>
      </c>
      <c r="I15" s="212" t="str">
        <f>[1]!'MZN/CLS1 10 23 7 23'</f>
        <v>1159.50</v>
      </c>
      <c r="J15" s="248">
        <v>296.2</v>
      </c>
      <c r="K15" s="249">
        <v>1028</v>
      </c>
      <c r="L15" s="212">
        <v>87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v>0.15537866304213213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5">
      <c r="B16" s="237">
        <f t="shared" si="0"/>
        <v>37135</v>
      </c>
      <c r="C16" s="257" t="str">
        <f>[1]!'MAL/CLS1 11 23 7 23'</f>
        <v>1529.75</v>
      </c>
      <c r="D16" s="257" t="str">
        <f>[1]!'MCU/CLS1 11 23 7 23'</f>
        <v>1868.25</v>
      </c>
      <c r="E16" s="257" t="str">
        <f>[1]!'MPB/CLS1 11 24 6 23'</f>
        <v>490.50</v>
      </c>
      <c r="F16" s="123" t="str">
        <f>[1]!'MNI/CLS1 11 26 4 23'</f>
        <v>6980</v>
      </c>
      <c r="G16" s="257">
        <f>[1]!'MAG/CLS1 11 23 7 23'/100</f>
        <v>4.95</v>
      </c>
      <c r="H16" s="257" t="str">
        <f>[1]!'MSN/CLS1 11 23 7 23'</f>
        <v>5380.00</v>
      </c>
      <c r="I16" s="257" t="str">
        <f>[1]!'MZN/CLS1 11 23 7 23'</f>
        <v>1157.75</v>
      </c>
      <c r="J16" s="248">
        <v>298.7</v>
      </c>
      <c r="K16" s="249">
        <v>1028</v>
      </c>
      <c r="L16" s="212">
        <v>87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258">
        <v>0.15379141700985116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5">
      <c r="B17" s="215">
        <f t="shared" si="0"/>
        <v>37165</v>
      </c>
      <c r="C17" s="233" t="str">
        <f>[1]!'MAL/CLS1 5 39 7 23'</f>
        <v>1526.75</v>
      </c>
      <c r="D17" s="233" t="str">
        <f>[1]!'MCU/CLS1 5 39 7 23'</f>
        <v>1866.50</v>
      </c>
      <c r="E17" s="233" t="str">
        <f>E16</f>
        <v>490.50</v>
      </c>
      <c r="F17" s="238" t="str">
        <f>[1]!'MNI/CLS1 5 42 4 23'</f>
        <v>6950</v>
      </c>
      <c r="G17" s="233">
        <f>G16</f>
        <v>4.95</v>
      </c>
      <c r="H17" s="233" t="str">
        <f>[1]!'MSN/CLS1 5 39 7 23'</f>
        <v>5385.00</v>
      </c>
      <c r="I17" s="233" t="str">
        <f>[1]!'MZN/CLS1 5 39 7 23'</f>
        <v>1156.00</v>
      </c>
      <c r="J17" s="248">
        <v>298.7</v>
      </c>
      <c r="K17" s="249">
        <v>1028</v>
      </c>
      <c r="L17" s="212">
        <v>87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235">
        <v>0.15194227713960623</v>
      </c>
      <c r="W17" s="235"/>
      <c r="X17" s="235"/>
      <c r="Y17" s="235"/>
      <c r="Z17" s="235"/>
      <c r="AA17" s="235"/>
      <c r="AB17" s="235"/>
      <c r="AC17" s="235"/>
    </row>
    <row r="18" spans="1:29" x14ac:dyDescent="0.25">
      <c r="B18" s="213">
        <f t="shared" si="0"/>
        <v>37196</v>
      </c>
      <c r="C18" s="212" t="str">
        <f>[1]!'MAL/CLS1 7 39 7 23'</f>
        <v>1520.75</v>
      </c>
      <c r="D18" s="212" t="str">
        <f>[1]!'MCU/CLS1 7 39 7 23'</f>
        <v>1863.50</v>
      </c>
      <c r="E18" s="212" t="str">
        <f>E17</f>
        <v>490.50</v>
      </c>
      <c r="F18" s="123" t="str">
        <f>[1]!'MNI/CLS1 7 42 4 23'</f>
        <v>6890</v>
      </c>
      <c r="G18" s="212">
        <f t="shared" ref="G18:G80" si="1">G17</f>
        <v>4.95</v>
      </c>
      <c r="H18" s="212" t="str">
        <f>H17</f>
        <v>5385.00</v>
      </c>
      <c r="I18" s="212" t="str">
        <f>[1]!'MZN/CLS1 7 39 7 23'</f>
        <v>1152.00</v>
      </c>
      <c r="J18" s="248">
        <v>301.3</v>
      </c>
      <c r="K18" s="249">
        <v>1028</v>
      </c>
      <c r="L18" s="212">
        <v>87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v>0.15034032019187726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3">
        <f t="shared" si="0"/>
        <v>37226</v>
      </c>
      <c r="C19" s="212" t="str">
        <f>[1]!'MAL/CLS1 7 39 7 23'</f>
        <v>1520.75</v>
      </c>
      <c r="D19" s="212" t="str">
        <f>[1]!'MCU/CLS1 7 39 7 23'</f>
        <v>1863.50</v>
      </c>
      <c r="E19" s="212" t="str">
        <f t="shared" ref="E19:E80" si="2">E18</f>
        <v>490.50</v>
      </c>
      <c r="F19" s="123" t="str">
        <f>[1]!'MNI/CLS1 7 42 4 23'</f>
        <v>6890</v>
      </c>
      <c r="G19" s="212">
        <f t="shared" si="1"/>
        <v>4.95</v>
      </c>
      <c r="H19" s="212" t="str">
        <f t="shared" ref="H19:H80" si="3">H18</f>
        <v>5385.00</v>
      </c>
      <c r="I19" s="212" t="str">
        <f>[1]!'MZN/CLS1 7 39 7 23'</f>
        <v>1152.00</v>
      </c>
      <c r="J19" s="248">
        <v>301.3</v>
      </c>
      <c r="K19" s="249">
        <v>1028</v>
      </c>
      <c r="L19" s="212">
        <v>87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v>0.14874798679703755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3">
        <f t="shared" ref="B20:B35" si="4">DATE(YEAR(B19),MONTH(B19)+1,1)</f>
        <v>37257</v>
      </c>
      <c r="C20" s="212" t="str">
        <f>[1]!'MAL/CLS1 8 39 7 23'</f>
        <v>1519.75</v>
      </c>
      <c r="D20" s="212" t="str">
        <f>[1]!'MCU/CLS1 8 39 7 23'</f>
        <v>1862.25</v>
      </c>
      <c r="E20" s="212" t="str">
        <f t="shared" si="2"/>
        <v>490.50</v>
      </c>
      <c r="F20" s="123" t="str">
        <f>[1]!'MNI/CLS1 8 42 4 23'</f>
        <v>6850</v>
      </c>
      <c r="G20" s="212">
        <f t="shared" si="1"/>
        <v>4.95</v>
      </c>
      <c r="H20" s="212" t="str">
        <f t="shared" si="3"/>
        <v>5385.00</v>
      </c>
      <c r="I20" s="212" t="str">
        <f>[1]!'MZN/CLS1 8 39 7 23'</f>
        <v>1150.00</v>
      </c>
      <c r="J20" s="248">
        <v>303.8</v>
      </c>
      <c r="K20" s="249">
        <v>1028</v>
      </c>
      <c r="L20" s="212">
        <v>87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v>0.14782439986008594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3">
        <f t="shared" si="4"/>
        <v>37288</v>
      </c>
      <c r="C21" s="212" t="str">
        <f>[1]!'MAL/CLS1 9 39 7 23'</f>
        <v>1518.75</v>
      </c>
      <c r="D21" s="212" t="str">
        <f>[1]!'MCU/CLS1 9 39 7 23'</f>
        <v>1861.00</v>
      </c>
      <c r="E21" s="212" t="str">
        <f t="shared" si="2"/>
        <v>490.50</v>
      </c>
      <c r="F21" s="123" t="str">
        <f>[1]!'MNI/CLS1 9 42 4 23'</f>
        <v>6820</v>
      </c>
      <c r="G21" s="212">
        <f t="shared" si="1"/>
        <v>4.95</v>
      </c>
      <c r="H21" s="212" t="str">
        <f t="shared" si="3"/>
        <v>5385.00</v>
      </c>
      <c r="I21" s="212" t="str">
        <f>[1]!'MZN/CLS1 9 39 7 23'</f>
        <v>1148.00</v>
      </c>
      <c r="J21" s="248">
        <v>303.8</v>
      </c>
      <c r="K21" s="249">
        <v>1028</v>
      </c>
      <c r="L21" s="212">
        <v>87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v>0.14621807286995572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3">
        <f t="shared" si="4"/>
        <v>37316</v>
      </c>
      <c r="C22" s="212" t="str">
        <f>[1]!'MAL/CLS1 10 39 7 23'</f>
        <v>1517.75</v>
      </c>
      <c r="D22" s="212" t="str">
        <f>[1]!'MCU/CLS1 10 39 7 23'</f>
        <v>1860.00</v>
      </c>
      <c r="E22" s="212" t="str">
        <f t="shared" si="2"/>
        <v>490.50</v>
      </c>
      <c r="F22" s="123" t="str">
        <f>[1]!'MNI/CLS1 10 42 4 23'</f>
        <v>6790</v>
      </c>
      <c r="G22" s="212">
        <f t="shared" si="1"/>
        <v>4.95</v>
      </c>
      <c r="H22" s="212" t="str">
        <f t="shared" si="3"/>
        <v>5385.00</v>
      </c>
      <c r="I22" s="212" t="str">
        <f>[1]!'MZN/CLS1 10 39 7 23'</f>
        <v>1146.00</v>
      </c>
      <c r="J22" s="248">
        <v>306.3</v>
      </c>
      <c r="K22" s="249">
        <v>1028</v>
      </c>
      <c r="L22" s="212">
        <v>87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v>0.14485527886723429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3">
        <f t="shared" si="4"/>
        <v>37347</v>
      </c>
      <c r="C23" s="212" t="str">
        <f>[1]!'MAL/CLS1 11 39 7 23'</f>
        <v>1516.75</v>
      </c>
      <c r="D23" s="212" t="str">
        <f>[1]!'MCU/CLS1 11 39 7 23'</f>
        <v>1859.00</v>
      </c>
      <c r="E23" s="212" t="str">
        <f t="shared" si="2"/>
        <v>490.50</v>
      </c>
      <c r="F23" s="123" t="str">
        <f>[1]!'MNI/CLS1 11 42 4 23'</f>
        <v>6765</v>
      </c>
      <c r="G23" s="212">
        <f t="shared" si="1"/>
        <v>4.95</v>
      </c>
      <c r="H23" s="212" t="str">
        <f t="shared" si="3"/>
        <v>5385.00</v>
      </c>
      <c r="I23" s="212" t="str">
        <f>[1]!'MZN/CLS1 11 39 7 23'</f>
        <v>1144.00</v>
      </c>
      <c r="J23" s="248">
        <v>306.3</v>
      </c>
      <c r="K23" s="249">
        <v>1028</v>
      </c>
      <c r="L23" s="212">
        <v>87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v>0.14350075680209184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3">
        <f t="shared" si="4"/>
        <v>37377</v>
      </c>
      <c r="C24" s="212" t="str">
        <f>[1]!'MAL/CLS1 5 55 7 23'</f>
        <v>1515.75</v>
      </c>
      <c r="D24" s="212" t="str">
        <f>[1]!'MCU/CLS1 5 55 7 23'</f>
        <v>1858.00</v>
      </c>
      <c r="E24" s="212" t="str">
        <f t="shared" si="2"/>
        <v>490.50</v>
      </c>
      <c r="F24" s="123" t="str">
        <f>[1]!'MNI/CLS1 5 58 4 23'</f>
        <v>6740</v>
      </c>
      <c r="G24" s="212">
        <f t="shared" si="1"/>
        <v>4.95</v>
      </c>
      <c r="H24" s="212" t="str">
        <f t="shared" si="3"/>
        <v>5385.00</v>
      </c>
      <c r="I24" s="212" t="str">
        <f>[1]!'MZN/CLS1 5 55 7 23'</f>
        <v>1142.00</v>
      </c>
      <c r="J24" s="248">
        <v>306.3</v>
      </c>
      <c r="K24" s="249">
        <v>1028</v>
      </c>
      <c r="L24" s="212">
        <v>87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v>0.14214740174731624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3">
        <f t="shared" si="4"/>
        <v>37408</v>
      </c>
      <c r="C25" s="212" t="str">
        <f>[1]!'MAL/CLS1 6 55 7 23'</f>
        <v>1514.75</v>
      </c>
      <c r="D25" s="212" t="str">
        <f>[1]!'MCU/CLS1 6 55 7 23'</f>
        <v>1857.00</v>
      </c>
      <c r="E25" s="212" t="str">
        <f t="shared" si="2"/>
        <v>490.50</v>
      </c>
      <c r="F25" s="123" t="str">
        <f>[1]!'MNI/CLS1 6 58 4 23'</f>
        <v>6715</v>
      </c>
      <c r="G25" s="212">
        <f t="shared" si="1"/>
        <v>4.95</v>
      </c>
      <c r="H25" s="212" t="str">
        <f t="shared" si="3"/>
        <v>5385.00</v>
      </c>
      <c r="I25" s="212" t="str">
        <f>[1]!'MZN/CLS1 6 55 7 23'</f>
        <v>1140.00</v>
      </c>
      <c r="J25" s="248">
        <v>306.3</v>
      </c>
      <c r="K25" s="249">
        <v>1028</v>
      </c>
      <c r="L25" s="212">
        <v>87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v>0.14109126551871501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3">
        <f t="shared" si="4"/>
        <v>37438</v>
      </c>
      <c r="C26" s="212" t="str">
        <f>[1]!'MAL/CLS1 7 55 7 23'</f>
        <v>1513.75</v>
      </c>
      <c r="D26" s="212" t="str">
        <f>[1]!'MCU/CLS1 7 55 7 23'</f>
        <v>1856.00</v>
      </c>
      <c r="E26" s="212" t="str">
        <f t="shared" si="2"/>
        <v>490.50</v>
      </c>
      <c r="F26" s="123" t="str">
        <f>[1]!'MNI/CLS1 7 58 4 23'</f>
        <v>6690</v>
      </c>
      <c r="G26" s="212">
        <f t="shared" si="1"/>
        <v>4.95</v>
      </c>
      <c r="H26" s="212" t="str">
        <f t="shared" si="3"/>
        <v>5385.00</v>
      </c>
      <c r="I26" s="212" t="str">
        <f>[1]!'MZN/CLS1 7 55 7 23'</f>
        <v>1138.00</v>
      </c>
      <c r="J26" s="248">
        <v>306.3</v>
      </c>
      <c r="K26" s="249">
        <v>1028</v>
      </c>
      <c r="L26" s="212">
        <v>87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v>0.14000357697323901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5">
      <c r="A27" s="236"/>
      <c r="B27" s="237">
        <f t="shared" si="4"/>
        <v>37469</v>
      </c>
      <c r="C27" s="212" t="str">
        <f>[1]!'MAL/CLS1 8 55 7 23'</f>
        <v>1512.75</v>
      </c>
      <c r="D27" s="212" t="str">
        <f>[1]!'MCU/CLS1 8 55 7 23'</f>
        <v>1855.00</v>
      </c>
      <c r="E27" s="212" t="str">
        <f t="shared" si="2"/>
        <v>490.50</v>
      </c>
      <c r="F27" s="123" t="str">
        <f>[1]!'MNI/CLS1 8 58 4 23'</f>
        <v>6665</v>
      </c>
      <c r="G27" s="212">
        <f t="shared" si="1"/>
        <v>4.95</v>
      </c>
      <c r="H27" s="212" t="str">
        <f t="shared" si="3"/>
        <v>5385.00</v>
      </c>
      <c r="I27" s="212" t="str">
        <f>[1]!'MZN/CLS1 8 55 7 23'</f>
        <v>1136.00</v>
      </c>
      <c r="J27" s="248">
        <v>306.3</v>
      </c>
      <c r="K27" s="249">
        <v>1028</v>
      </c>
      <c r="L27" s="212">
        <v>87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235">
        <v>0.13902809734457253</v>
      </c>
      <c r="W27" s="235"/>
      <c r="X27" s="235"/>
      <c r="Y27" s="235"/>
      <c r="Z27" s="235"/>
      <c r="AA27" s="235"/>
      <c r="AB27" s="235"/>
      <c r="AC27" s="235"/>
    </row>
    <row r="28" spans="1:29" x14ac:dyDescent="0.25">
      <c r="A28" s="216"/>
      <c r="B28" s="215">
        <f t="shared" si="4"/>
        <v>37500</v>
      </c>
      <c r="C28" s="233" t="str">
        <f>[1]!'MAL/CLS1 9 55 7 23'</f>
        <v>1511.75</v>
      </c>
      <c r="D28" s="233" t="str">
        <f>[1]!'MCU/CLS1 9 55 7 23'</f>
        <v>1854.00</v>
      </c>
      <c r="E28" s="233" t="str">
        <f t="shared" si="2"/>
        <v>490.50</v>
      </c>
      <c r="F28" s="234" t="str">
        <f>[1]!'MNI/CLS1 9 58 4 23'</f>
        <v>6640</v>
      </c>
      <c r="G28" s="233">
        <f t="shared" si="1"/>
        <v>4.95</v>
      </c>
      <c r="H28" s="233" t="str">
        <f t="shared" si="3"/>
        <v>5385.00</v>
      </c>
      <c r="I28" s="233" t="str">
        <f>[1]!'MZN/CLS1 9 55 7 23'</f>
        <v>1134.00</v>
      </c>
      <c r="J28" s="248">
        <v>306.3</v>
      </c>
      <c r="K28" s="249">
        <v>1028</v>
      </c>
      <c r="L28" s="212">
        <v>87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v>0.13807688716276326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5">
      <c r="A29" s="236"/>
      <c r="B29" s="237">
        <f t="shared" si="4"/>
        <v>37530</v>
      </c>
      <c r="C29" s="212" t="str">
        <f>C28</f>
        <v>1511.75</v>
      </c>
      <c r="D29" s="212" t="str">
        <f>D28</f>
        <v>1854.00</v>
      </c>
      <c r="E29" s="212" t="str">
        <f t="shared" si="2"/>
        <v>490.50</v>
      </c>
      <c r="F29" s="123" t="str">
        <f>F28</f>
        <v>6640</v>
      </c>
      <c r="G29" s="212">
        <f t="shared" si="1"/>
        <v>4.95</v>
      </c>
      <c r="H29" s="212" t="str">
        <f t="shared" si="3"/>
        <v>5385.00</v>
      </c>
      <c r="I29" s="212" t="str">
        <f>I28</f>
        <v>1134.00</v>
      </c>
      <c r="J29" s="248">
        <v>306.3</v>
      </c>
      <c r="K29" s="249">
        <v>1028</v>
      </c>
      <c r="L29" s="212">
        <v>87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v>0.13807688716276326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3">
        <f t="shared" si="4"/>
        <v>37561</v>
      </c>
      <c r="C30" s="212" t="str">
        <f t="shared" ref="C30:C80" si="5">C29</f>
        <v>1511.75</v>
      </c>
      <c r="D30" s="212" t="str">
        <f t="shared" ref="D30:D80" si="6">D29</f>
        <v>1854.00</v>
      </c>
      <c r="E30" s="212" t="str">
        <f t="shared" si="2"/>
        <v>490.50</v>
      </c>
      <c r="F30" s="123" t="str">
        <f t="shared" ref="F30:F80" si="7">F29</f>
        <v>6640</v>
      </c>
      <c r="G30" s="212">
        <f t="shared" si="1"/>
        <v>4.95</v>
      </c>
      <c r="H30" s="212" t="str">
        <f t="shared" si="3"/>
        <v>5385.00</v>
      </c>
      <c r="I30" s="212" t="str">
        <f t="shared" ref="I30:I80" si="8">I29</f>
        <v>1134.00</v>
      </c>
      <c r="J30" s="248">
        <v>306.3</v>
      </c>
      <c r="K30" s="249">
        <v>1028</v>
      </c>
      <c r="L30" s="212">
        <v>87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v>0.13807688716276326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3">
        <f t="shared" si="4"/>
        <v>37591</v>
      </c>
      <c r="C31" s="212" t="str">
        <f t="shared" si="5"/>
        <v>1511.75</v>
      </c>
      <c r="D31" s="212" t="str">
        <f t="shared" si="6"/>
        <v>1854.00</v>
      </c>
      <c r="E31" s="212" t="str">
        <f t="shared" si="2"/>
        <v>490.50</v>
      </c>
      <c r="F31" s="123" t="str">
        <f t="shared" si="7"/>
        <v>6640</v>
      </c>
      <c r="G31" s="212">
        <f t="shared" si="1"/>
        <v>4.95</v>
      </c>
      <c r="H31" s="212" t="str">
        <f t="shared" si="3"/>
        <v>5385.00</v>
      </c>
      <c r="I31" s="212" t="str">
        <f t="shared" si="8"/>
        <v>1134.00</v>
      </c>
      <c r="J31" s="248">
        <v>306.3</v>
      </c>
      <c r="K31" s="249">
        <v>1028</v>
      </c>
      <c r="L31" s="212">
        <v>87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v>0.13807688716276326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3">
        <f t="shared" si="4"/>
        <v>37622</v>
      </c>
      <c r="C32" s="212" t="str">
        <f t="shared" si="5"/>
        <v>1511.75</v>
      </c>
      <c r="D32" s="212" t="str">
        <f t="shared" si="6"/>
        <v>1854.00</v>
      </c>
      <c r="E32" s="212" t="str">
        <f t="shared" si="2"/>
        <v>490.50</v>
      </c>
      <c r="F32" s="123" t="str">
        <f t="shared" si="7"/>
        <v>6640</v>
      </c>
      <c r="G32" s="212">
        <f t="shared" si="1"/>
        <v>4.95</v>
      </c>
      <c r="H32" s="212" t="str">
        <f t="shared" si="3"/>
        <v>5385.00</v>
      </c>
      <c r="I32" s="212" t="str">
        <f t="shared" si="8"/>
        <v>1134.00</v>
      </c>
      <c r="J32" s="248">
        <v>306.3</v>
      </c>
      <c r="K32" s="249">
        <v>1028</v>
      </c>
      <c r="L32" s="212">
        <v>87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v>0.13807688716276326</v>
      </c>
      <c r="W32" s="41"/>
      <c r="X32" s="41"/>
      <c r="Y32" s="41"/>
      <c r="Z32" s="41"/>
      <c r="AA32" s="41"/>
      <c r="AB32" s="41"/>
      <c r="AC32" s="41"/>
    </row>
    <row r="33" spans="1:29" x14ac:dyDescent="0.25">
      <c r="B33" s="213">
        <f t="shared" si="4"/>
        <v>37653</v>
      </c>
      <c r="C33" s="212" t="str">
        <f t="shared" si="5"/>
        <v>1511.75</v>
      </c>
      <c r="D33" s="212" t="str">
        <f t="shared" si="6"/>
        <v>1854.00</v>
      </c>
      <c r="E33" s="212" t="str">
        <f t="shared" si="2"/>
        <v>490.50</v>
      </c>
      <c r="F33" s="123" t="str">
        <f t="shared" si="7"/>
        <v>6640</v>
      </c>
      <c r="G33" s="212">
        <f t="shared" si="1"/>
        <v>4.95</v>
      </c>
      <c r="H33" s="212" t="str">
        <f t="shared" si="3"/>
        <v>5385.00</v>
      </c>
      <c r="I33" s="212" t="str">
        <f t="shared" si="8"/>
        <v>1134.00</v>
      </c>
      <c r="J33" s="248">
        <v>306.3</v>
      </c>
      <c r="K33" s="249">
        <v>1028</v>
      </c>
      <c r="L33" s="212">
        <v>87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v>0.13807688716276326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5">
      <c r="A34" s="236"/>
      <c r="B34" s="237">
        <f t="shared" si="4"/>
        <v>37681</v>
      </c>
      <c r="C34" s="212" t="str">
        <f t="shared" si="5"/>
        <v>1511.75</v>
      </c>
      <c r="D34" s="212" t="str">
        <f t="shared" si="6"/>
        <v>1854.00</v>
      </c>
      <c r="E34" s="212" t="str">
        <f t="shared" si="2"/>
        <v>490.50</v>
      </c>
      <c r="F34" s="123" t="str">
        <f t="shared" si="7"/>
        <v>6640</v>
      </c>
      <c r="G34" s="212">
        <f t="shared" si="1"/>
        <v>4.95</v>
      </c>
      <c r="H34" s="212" t="str">
        <f t="shared" si="3"/>
        <v>5385.00</v>
      </c>
      <c r="I34" s="212" t="str">
        <f t="shared" si="8"/>
        <v>1134.00</v>
      </c>
      <c r="J34" s="248">
        <v>306.3</v>
      </c>
      <c r="K34" s="249">
        <v>1028</v>
      </c>
      <c r="L34" s="212">
        <v>87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235">
        <v>0.13807688716276326</v>
      </c>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"/>
      <c r="B35" s="215">
        <f t="shared" si="4"/>
        <v>37712</v>
      </c>
      <c r="C35" s="233" t="str">
        <f t="shared" si="5"/>
        <v>1511.75</v>
      </c>
      <c r="D35" s="233" t="str">
        <f t="shared" si="6"/>
        <v>1854.00</v>
      </c>
      <c r="E35" s="233" t="str">
        <f t="shared" si="2"/>
        <v>490.50</v>
      </c>
      <c r="F35" s="234" t="str">
        <f t="shared" si="7"/>
        <v>6640</v>
      </c>
      <c r="G35" s="233">
        <f t="shared" si="1"/>
        <v>4.95</v>
      </c>
      <c r="H35" s="233" t="str">
        <f t="shared" si="3"/>
        <v>5385.00</v>
      </c>
      <c r="I35" s="233" t="str">
        <f t="shared" si="8"/>
        <v>1134.00</v>
      </c>
      <c r="J35" s="248">
        <v>306.3</v>
      </c>
      <c r="K35" s="249">
        <v>1028</v>
      </c>
      <c r="L35" s="212">
        <v>87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v>0.13807688716276326</v>
      </c>
      <c r="W35" s="41"/>
      <c r="X35" s="41"/>
      <c r="Y35" s="41"/>
      <c r="Z35" s="41"/>
      <c r="AA35" s="41"/>
      <c r="AB35" s="41"/>
      <c r="AC35" s="41"/>
    </row>
    <row r="36" spans="1:29" x14ac:dyDescent="0.25">
      <c r="B36" s="213">
        <f t="shared" ref="B36:B51" si="9">DATE(YEAR(B35),MONTH(B35)+1,1)</f>
        <v>37742</v>
      </c>
      <c r="C36" s="212" t="str">
        <f t="shared" si="5"/>
        <v>1511.75</v>
      </c>
      <c r="D36" s="212" t="str">
        <f t="shared" si="6"/>
        <v>1854.00</v>
      </c>
      <c r="E36" s="212" t="str">
        <f t="shared" si="2"/>
        <v>490.50</v>
      </c>
      <c r="F36" s="123" t="str">
        <f t="shared" si="7"/>
        <v>6640</v>
      </c>
      <c r="G36" s="212">
        <f t="shared" si="1"/>
        <v>4.95</v>
      </c>
      <c r="H36" s="212" t="str">
        <f t="shared" si="3"/>
        <v>5385.00</v>
      </c>
      <c r="I36" s="212" t="str">
        <f t="shared" si="8"/>
        <v>1134.00</v>
      </c>
      <c r="J36" s="248">
        <v>306.3</v>
      </c>
      <c r="K36" s="249">
        <v>1028</v>
      </c>
      <c r="L36" s="212">
        <v>87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v>0.13807688716276326</v>
      </c>
      <c r="W36" s="41"/>
      <c r="X36" s="41"/>
      <c r="Y36" s="41"/>
      <c r="Z36" s="41"/>
      <c r="AA36" s="41"/>
      <c r="AB36" s="41"/>
      <c r="AC36" s="41"/>
    </row>
    <row r="37" spans="1:29" x14ac:dyDescent="0.25">
      <c r="B37" s="213">
        <f t="shared" si="9"/>
        <v>37773</v>
      </c>
      <c r="C37" s="212" t="str">
        <f t="shared" si="5"/>
        <v>1511.75</v>
      </c>
      <c r="D37" s="212" t="str">
        <f t="shared" si="6"/>
        <v>1854.00</v>
      </c>
      <c r="E37" s="212" t="str">
        <f t="shared" si="2"/>
        <v>490.50</v>
      </c>
      <c r="F37" s="123" t="str">
        <f t="shared" si="7"/>
        <v>6640</v>
      </c>
      <c r="G37" s="212">
        <f t="shared" si="1"/>
        <v>4.95</v>
      </c>
      <c r="H37" s="212" t="str">
        <f t="shared" si="3"/>
        <v>5385.00</v>
      </c>
      <c r="I37" s="212" t="str">
        <f t="shared" si="8"/>
        <v>1134.00</v>
      </c>
      <c r="J37" s="248">
        <v>306.3</v>
      </c>
      <c r="K37" s="249">
        <v>1028</v>
      </c>
      <c r="L37" s="212">
        <v>87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v>0.13807688716276326</v>
      </c>
      <c r="W37" s="41"/>
      <c r="X37" s="41"/>
      <c r="Y37" s="41"/>
      <c r="Z37" s="41"/>
      <c r="AA37" s="41"/>
      <c r="AB37" s="41"/>
      <c r="AC37" s="41"/>
    </row>
    <row r="38" spans="1:29" x14ac:dyDescent="0.25">
      <c r="B38" s="213">
        <f t="shared" si="9"/>
        <v>37803</v>
      </c>
      <c r="C38" s="212" t="str">
        <f t="shared" si="5"/>
        <v>1511.75</v>
      </c>
      <c r="D38" s="212" t="str">
        <f t="shared" si="6"/>
        <v>1854.00</v>
      </c>
      <c r="E38" s="212" t="str">
        <f t="shared" si="2"/>
        <v>490.50</v>
      </c>
      <c r="F38" s="123" t="str">
        <f t="shared" si="7"/>
        <v>6640</v>
      </c>
      <c r="G38" s="212">
        <f t="shared" si="1"/>
        <v>4.95</v>
      </c>
      <c r="H38" s="212" t="str">
        <f t="shared" si="3"/>
        <v>5385.00</v>
      </c>
      <c r="I38" s="212" t="str">
        <f t="shared" si="8"/>
        <v>1134.00</v>
      </c>
      <c r="J38" s="248">
        <v>306.3</v>
      </c>
      <c r="K38" s="249">
        <v>1028</v>
      </c>
      <c r="L38" s="212">
        <v>87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v>0.13807688716276326</v>
      </c>
      <c r="W38" s="41"/>
      <c r="X38" s="41"/>
      <c r="Y38" s="41"/>
      <c r="Z38" s="41"/>
      <c r="AA38" s="41"/>
      <c r="AB38" s="41"/>
      <c r="AC38" s="41"/>
    </row>
    <row r="39" spans="1:29" x14ac:dyDescent="0.25">
      <c r="B39" s="213">
        <f t="shared" si="9"/>
        <v>37834</v>
      </c>
      <c r="C39" s="212" t="str">
        <f t="shared" si="5"/>
        <v>1511.75</v>
      </c>
      <c r="D39" s="212" t="str">
        <f t="shared" si="6"/>
        <v>1854.00</v>
      </c>
      <c r="E39" s="212" t="str">
        <f t="shared" si="2"/>
        <v>490.50</v>
      </c>
      <c r="F39" s="123" t="str">
        <f t="shared" si="7"/>
        <v>6640</v>
      </c>
      <c r="G39" s="212">
        <f t="shared" si="1"/>
        <v>4.95</v>
      </c>
      <c r="H39" s="212" t="str">
        <f t="shared" si="3"/>
        <v>5385.00</v>
      </c>
      <c r="I39" s="212" t="str">
        <f t="shared" si="8"/>
        <v>1134.00</v>
      </c>
      <c r="J39" s="248">
        <v>306.3</v>
      </c>
      <c r="K39" s="249">
        <v>1028</v>
      </c>
      <c r="L39" s="212">
        <v>87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v>0.13807688716276326</v>
      </c>
      <c r="W39" s="41"/>
      <c r="X39" s="41"/>
      <c r="Y39" s="41"/>
      <c r="Z39" s="41"/>
      <c r="AA39" s="41"/>
      <c r="AB39" s="41"/>
      <c r="AC39" s="41"/>
    </row>
    <row r="40" spans="1:29" x14ac:dyDescent="0.25">
      <c r="B40" s="213">
        <f t="shared" si="9"/>
        <v>37865</v>
      </c>
      <c r="C40" s="212" t="str">
        <f t="shared" si="5"/>
        <v>1511.75</v>
      </c>
      <c r="D40" s="212" t="str">
        <f t="shared" si="6"/>
        <v>1854.00</v>
      </c>
      <c r="E40" s="212" t="str">
        <f t="shared" si="2"/>
        <v>490.50</v>
      </c>
      <c r="F40" s="123" t="str">
        <f t="shared" si="7"/>
        <v>6640</v>
      </c>
      <c r="G40" s="212">
        <f t="shared" si="1"/>
        <v>4.95</v>
      </c>
      <c r="H40" s="212" t="str">
        <f t="shared" si="3"/>
        <v>5385.00</v>
      </c>
      <c r="I40" s="212" t="str">
        <f t="shared" si="8"/>
        <v>1134.00</v>
      </c>
      <c r="J40" s="248">
        <v>306.3</v>
      </c>
      <c r="K40" s="249">
        <v>1028</v>
      </c>
      <c r="L40" s="212">
        <v>87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v>0.13807688716276326</v>
      </c>
      <c r="W40" s="41"/>
      <c r="X40" s="41"/>
      <c r="Y40" s="41"/>
      <c r="Z40" s="41"/>
      <c r="AA40" s="41"/>
      <c r="AB40" s="41"/>
      <c r="AC40" s="41"/>
    </row>
    <row r="41" spans="1:29" x14ac:dyDescent="0.25">
      <c r="B41" s="213">
        <f t="shared" si="9"/>
        <v>37895</v>
      </c>
      <c r="C41" s="212" t="str">
        <f t="shared" si="5"/>
        <v>1511.75</v>
      </c>
      <c r="D41" s="212" t="str">
        <f t="shared" si="6"/>
        <v>1854.00</v>
      </c>
      <c r="E41" s="212" t="str">
        <f t="shared" si="2"/>
        <v>490.50</v>
      </c>
      <c r="F41" s="123" t="str">
        <f t="shared" si="7"/>
        <v>6640</v>
      </c>
      <c r="G41" s="212">
        <f t="shared" si="1"/>
        <v>4.95</v>
      </c>
      <c r="H41" s="212" t="str">
        <f t="shared" si="3"/>
        <v>5385.00</v>
      </c>
      <c r="I41" s="212" t="str">
        <f t="shared" si="8"/>
        <v>1134.00</v>
      </c>
      <c r="J41" s="248">
        <v>306.3</v>
      </c>
      <c r="K41" s="249">
        <v>1028</v>
      </c>
      <c r="L41" s="212">
        <v>87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v>0.13807688716276326</v>
      </c>
      <c r="W41" s="41"/>
      <c r="X41" s="41"/>
      <c r="Y41" s="41"/>
      <c r="Z41" s="41"/>
      <c r="AA41" s="41"/>
      <c r="AB41" s="41"/>
      <c r="AC41" s="41"/>
    </row>
    <row r="42" spans="1:29" x14ac:dyDescent="0.25">
      <c r="B42" s="213">
        <f t="shared" si="9"/>
        <v>37926</v>
      </c>
      <c r="C42" s="212" t="str">
        <f t="shared" si="5"/>
        <v>1511.75</v>
      </c>
      <c r="D42" s="212" t="str">
        <f t="shared" si="6"/>
        <v>1854.00</v>
      </c>
      <c r="E42" s="212" t="str">
        <f t="shared" si="2"/>
        <v>490.50</v>
      </c>
      <c r="F42" s="123" t="str">
        <f t="shared" si="7"/>
        <v>6640</v>
      </c>
      <c r="G42" s="212">
        <f t="shared" si="1"/>
        <v>4.95</v>
      </c>
      <c r="H42" s="212" t="str">
        <f t="shared" si="3"/>
        <v>5385.00</v>
      </c>
      <c r="I42" s="212" t="str">
        <f t="shared" si="8"/>
        <v>1134.00</v>
      </c>
      <c r="J42" s="248">
        <v>306.3</v>
      </c>
      <c r="K42" s="249">
        <v>1028</v>
      </c>
      <c r="L42" s="212">
        <v>87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v>0.13807688716276326</v>
      </c>
      <c r="W42" s="41"/>
      <c r="X42" s="41"/>
      <c r="Y42" s="41"/>
      <c r="Z42" s="41"/>
      <c r="AA42" s="41"/>
      <c r="AB42" s="41"/>
      <c r="AC42" s="41"/>
    </row>
    <row r="43" spans="1:29" x14ac:dyDescent="0.25">
      <c r="B43" s="213">
        <f t="shared" si="9"/>
        <v>37956</v>
      </c>
      <c r="C43" s="212" t="str">
        <f t="shared" si="5"/>
        <v>1511.75</v>
      </c>
      <c r="D43" s="212" t="str">
        <f t="shared" si="6"/>
        <v>1854.00</v>
      </c>
      <c r="E43" s="212" t="str">
        <f t="shared" si="2"/>
        <v>490.50</v>
      </c>
      <c r="F43" s="123" t="str">
        <f t="shared" si="7"/>
        <v>6640</v>
      </c>
      <c r="G43" s="212">
        <f t="shared" si="1"/>
        <v>4.95</v>
      </c>
      <c r="H43" s="212" t="str">
        <f t="shared" si="3"/>
        <v>5385.00</v>
      </c>
      <c r="I43" s="212" t="str">
        <f t="shared" si="8"/>
        <v>1134.00</v>
      </c>
      <c r="J43" s="248">
        <v>306.3</v>
      </c>
      <c r="K43" s="249">
        <v>1028</v>
      </c>
      <c r="L43" s="212">
        <v>87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v>0.13807688716276326</v>
      </c>
      <c r="W43" s="41"/>
      <c r="X43" s="41"/>
      <c r="Y43" s="41"/>
      <c r="Z43" s="41"/>
      <c r="AA43" s="41"/>
      <c r="AB43" s="41"/>
      <c r="AC43" s="41"/>
    </row>
    <row r="44" spans="1:29" x14ac:dyDescent="0.25">
      <c r="B44" s="213">
        <f t="shared" si="9"/>
        <v>37987</v>
      </c>
      <c r="C44" s="212" t="str">
        <f t="shared" si="5"/>
        <v>1511.75</v>
      </c>
      <c r="D44" s="212" t="str">
        <f t="shared" si="6"/>
        <v>1854.00</v>
      </c>
      <c r="E44" s="212" t="str">
        <f t="shared" si="2"/>
        <v>490.50</v>
      </c>
      <c r="F44" s="123" t="str">
        <f t="shared" si="7"/>
        <v>6640</v>
      </c>
      <c r="G44" s="212">
        <f t="shared" si="1"/>
        <v>4.95</v>
      </c>
      <c r="H44" s="212" t="str">
        <f t="shared" si="3"/>
        <v>5385.00</v>
      </c>
      <c r="I44" s="212" t="str">
        <f t="shared" si="8"/>
        <v>1134.00</v>
      </c>
      <c r="J44" s="248">
        <v>306.3</v>
      </c>
      <c r="K44" s="249">
        <v>1028</v>
      </c>
      <c r="L44" s="212">
        <v>87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v>0.13807688716276326</v>
      </c>
      <c r="W44" s="41"/>
      <c r="X44" s="41"/>
      <c r="Y44" s="41"/>
      <c r="Z44" s="41"/>
      <c r="AA44" s="41"/>
      <c r="AB44" s="41"/>
      <c r="AC44" s="41"/>
    </row>
    <row r="45" spans="1:29" x14ac:dyDescent="0.25">
      <c r="B45" s="213">
        <f t="shared" si="9"/>
        <v>38018</v>
      </c>
      <c r="C45" s="212" t="str">
        <f t="shared" si="5"/>
        <v>1511.75</v>
      </c>
      <c r="D45" s="212" t="str">
        <f t="shared" si="6"/>
        <v>1854.00</v>
      </c>
      <c r="E45" s="212" t="str">
        <f t="shared" si="2"/>
        <v>490.50</v>
      </c>
      <c r="F45" s="123" t="str">
        <f t="shared" si="7"/>
        <v>6640</v>
      </c>
      <c r="G45" s="212">
        <f t="shared" si="1"/>
        <v>4.95</v>
      </c>
      <c r="H45" s="212" t="str">
        <f t="shared" si="3"/>
        <v>5385.00</v>
      </c>
      <c r="I45" s="212" t="str">
        <f t="shared" si="8"/>
        <v>1134.00</v>
      </c>
      <c r="J45" s="248">
        <v>306.3</v>
      </c>
      <c r="K45" s="249">
        <v>1028</v>
      </c>
      <c r="L45" s="212">
        <v>87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v>0.13807688716276326</v>
      </c>
      <c r="W45" s="41"/>
      <c r="X45" s="41"/>
      <c r="Y45" s="41"/>
      <c r="Z45" s="41"/>
      <c r="AA45" s="41"/>
      <c r="AB45" s="41"/>
      <c r="AC45" s="41"/>
    </row>
    <row r="46" spans="1:29" x14ac:dyDescent="0.25">
      <c r="B46" s="213">
        <f t="shared" si="9"/>
        <v>38047</v>
      </c>
      <c r="C46" s="212" t="str">
        <f t="shared" si="5"/>
        <v>1511.75</v>
      </c>
      <c r="D46" s="212" t="str">
        <f t="shared" si="6"/>
        <v>1854.00</v>
      </c>
      <c r="E46" s="212" t="str">
        <f t="shared" si="2"/>
        <v>490.50</v>
      </c>
      <c r="F46" s="123" t="str">
        <f t="shared" si="7"/>
        <v>6640</v>
      </c>
      <c r="G46" s="212">
        <f t="shared" si="1"/>
        <v>4.95</v>
      </c>
      <c r="H46" s="212" t="str">
        <f t="shared" si="3"/>
        <v>5385.00</v>
      </c>
      <c r="I46" s="212" t="str">
        <f t="shared" si="8"/>
        <v>1134.00</v>
      </c>
      <c r="J46" s="248">
        <v>306.3</v>
      </c>
      <c r="K46" s="249">
        <v>1028</v>
      </c>
      <c r="L46" s="212">
        <v>87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v>0.13807688716276326</v>
      </c>
      <c r="W46" s="41"/>
      <c r="X46" s="41"/>
      <c r="Y46" s="41"/>
      <c r="Z46" s="41"/>
      <c r="AA46" s="41"/>
      <c r="AB46" s="41"/>
      <c r="AC46" s="41"/>
    </row>
    <row r="47" spans="1:29" x14ac:dyDescent="0.25">
      <c r="B47" s="213">
        <f t="shared" si="9"/>
        <v>38078</v>
      </c>
      <c r="C47" s="212" t="str">
        <f t="shared" si="5"/>
        <v>1511.75</v>
      </c>
      <c r="D47" s="212" t="str">
        <f t="shared" si="6"/>
        <v>1854.00</v>
      </c>
      <c r="E47" s="212" t="str">
        <f t="shared" si="2"/>
        <v>490.50</v>
      </c>
      <c r="F47" s="123" t="str">
        <f t="shared" si="7"/>
        <v>6640</v>
      </c>
      <c r="G47" s="212">
        <f t="shared" si="1"/>
        <v>4.95</v>
      </c>
      <c r="H47" s="212" t="str">
        <f t="shared" si="3"/>
        <v>5385.00</v>
      </c>
      <c r="I47" s="212" t="str">
        <f t="shared" si="8"/>
        <v>1134.00</v>
      </c>
      <c r="J47" s="248">
        <v>306.3</v>
      </c>
      <c r="K47" s="249">
        <v>1028</v>
      </c>
      <c r="L47" s="212">
        <v>87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v>0.13807688716276326</v>
      </c>
      <c r="W47" s="41"/>
      <c r="X47" s="41"/>
      <c r="Y47" s="41"/>
      <c r="Z47" s="41"/>
      <c r="AA47" s="41"/>
      <c r="AB47" s="41"/>
      <c r="AC47" s="41"/>
    </row>
    <row r="48" spans="1:29" x14ac:dyDescent="0.25">
      <c r="B48" s="213">
        <f t="shared" si="9"/>
        <v>38108</v>
      </c>
      <c r="C48" s="212" t="str">
        <f t="shared" si="5"/>
        <v>1511.75</v>
      </c>
      <c r="D48" s="212" t="str">
        <f t="shared" si="6"/>
        <v>1854.00</v>
      </c>
      <c r="E48" s="212" t="str">
        <f t="shared" si="2"/>
        <v>490.50</v>
      </c>
      <c r="F48" s="123" t="str">
        <f t="shared" si="7"/>
        <v>6640</v>
      </c>
      <c r="G48" s="212">
        <f t="shared" si="1"/>
        <v>4.95</v>
      </c>
      <c r="H48" s="212" t="str">
        <f t="shared" si="3"/>
        <v>5385.00</v>
      </c>
      <c r="I48" s="212" t="str">
        <f t="shared" si="8"/>
        <v>1134.00</v>
      </c>
      <c r="J48" s="248">
        <v>306.3</v>
      </c>
      <c r="K48" s="249">
        <v>1028</v>
      </c>
      <c r="L48" s="212">
        <v>87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v>0.13807688716276326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3">
        <f t="shared" si="9"/>
        <v>38139</v>
      </c>
      <c r="C49" s="212" t="str">
        <f t="shared" si="5"/>
        <v>1511.75</v>
      </c>
      <c r="D49" s="212" t="str">
        <f t="shared" si="6"/>
        <v>1854.00</v>
      </c>
      <c r="E49" s="212" t="str">
        <f t="shared" si="2"/>
        <v>490.50</v>
      </c>
      <c r="F49" s="123" t="str">
        <f t="shared" si="7"/>
        <v>6640</v>
      </c>
      <c r="G49" s="212">
        <f t="shared" si="1"/>
        <v>4.95</v>
      </c>
      <c r="H49" s="212" t="str">
        <f t="shared" si="3"/>
        <v>5385.00</v>
      </c>
      <c r="I49" s="212" t="str">
        <f t="shared" si="8"/>
        <v>1134.00</v>
      </c>
      <c r="J49" s="248">
        <v>306.3</v>
      </c>
      <c r="K49" s="249">
        <v>1028</v>
      </c>
      <c r="L49" s="212">
        <v>87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v>0.13807688716276326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3">
        <f t="shared" si="9"/>
        <v>38169</v>
      </c>
      <c r="C50" s="212" t="str">
        <f t="shared" si="5"/>
        <v>1511.75</v>
      </c>
      <c r="D50" s="212" t="str">
        <f t="shared" si="6"/>
        <v>1854.00</v>
      </c>
      <c r="E50" s="212" t="str">
        <f t="shared" si="2"/>
        <v>490.50</v>
      </c>
      <c r="F50" s="123" t="str">
        <f t="shared" si="7"/>
        <v>6640</v>
      </c>
      <c r="G50" s="212">
        <f t="shared" si="1"/>
        <v>4.95</v>
      </c>
      <c r="H50" s="212" t="str">
        <f t="shared" si="3"/>
        <v>5385.00</v>
      </c>
      <c r="I50" s="212" t="str">
        <f t="shared" si="8"/>
        <v>1134.00</v>
      </c>
      <c r="J50" s="248">
        <v>306.3</v>
      </c>
      <c r="K50" s="249">
        <v>1028</v>
      </c>
      <c r="L50" s="212">
        <v>87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v>0.13807688716276326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3">
        <f t="shared" si="9"/>
        <v>38200</v>
      </c>
      <c r="C51" s="212" t="str">
        <f t="shared" si="5"/>
        <v>1511.75</v>
      </c>
      <c r="D51" s="212" t="str">
        <f t="shared" si="6"/>
        <v>1854.00</v>
      </c>
      <c r="E51" s="212" t="str">
        <f t="shared" si="2"/>
        <v>490.50</v>
      </c>
      <c r="F51" s="123" t="str">
        <f t="shared" si="7"/>
        <v>6640</v>
      </c>
      <c r="G51" s="212">
        <f t="shared" si="1"/>
        <v>4.95</v>
      </c>
      <c r="H51" s="212" t="str">
        <f t="shared" si="3"/>
        <v>5385.00</v>
      </c>
      <c r="I51" s="212" t="str">
        <f t="shared" si="8"/>
        <v>1134.00</v>
      </c>
      <c r="J51" s="248">
        <v>306.3</v>
      </c>
      <c r="K51" s="249">
        <v>1028</v>
      </c>
      <c r="L51" s="212">
        <v>87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v>0.13807688716276326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3">
        <f t="shared" ref="B52:B80" si="10">DATE(YEAR(B51),MONTH(B51)+1,1)</f>
        <v>38231</v>
      </c>
      <c r="C52" s="212" t="str">
        <f t="shared" si="5"/>
        <v>1511.75</v>
      </c>
      <c r="D52" s="212" t="str">
        <f t="shared" si="6"/>
        <v>1854.00</v>
      </c>
      <c r="E52" s="212" t="str">
        <f t="shared" si="2"/>
        <v>490.50</v>
      </c>
      <c r="F52" s="123" t="str">
        <f t="shared" si="7"/>
        <v>6640</v>
      </c>
      <c r="G52" s="212">
        <f t="shared" si="1"/>
        <v>4.95</v>
      </c>
      <c r="H52" s="212" t="str">
        <f t="shared" si="3"/>
        <v>5385.00</v>
      </c>
      <c r="I52" s="212" t="str">
        <f t="shared" si="8"/>
        <v>1134.00</v>
      </c>
      <c r="J52" s="248">
        <v>306.3</v>
      </c>
      <c r="K52" s="249">
        <v>1028</v>
      </c>
      <c r="L52" s="212">
        <v>87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v>0.13807688716276326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3">
        <f t="shared" si="10"/>
        <v>38261</v>
      </c>
      <c r="C53" s="212" t="str">
        <f t="shared" si="5"/>
        <v>1511.75</v>
      </c>
      <c r="D53" s="212" t="str">
        <f t="shared" si="6"/>
        <v>1854.00</v>
      </c>
      <c r="E53" s="212" t="str">
        <f t="shared" si="2"/>
        <v>490.50</v>
      </c>
      <c r="F53" s="123" t="str">
        <f t="shared" si="7"/>
        <v>6640</v>
      </c>
      <c r="G53" s="212">
        <f t="shared" si="1"/>
        <v>4.95</v>
      </c>
      <c r="H53" s="212" t="str">
        <f t="shared" si="3"/>
        <v>5385.00</v>
      </c>
      <c r="I53" s="212" t="str">
        <f t="shared" si="8"/>
        <v>1134.00</v>
      </c>
      <c r="J53" s="248">
        <v>306.3</v>
      </c>
      <c r="K53" s="249">
        <v>1028</v>
      </c>
      <c r="L53" s="212">
        <v>87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v>0.13807688716276326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3">
        <f t="shared" si="10"/>
        <v>38292</v>
      </c>
      <c r="C54" s="212" t="str">
        <f t="shared" si="5"/>
        <v>1511.75</v>
      </c>
      <c r="D54" s="212" t="str">
        <f t="shared" si="6"/>
        <v>1854.00</v>
      </c>
      <c r="E54" s="212" t="str">
        <f t="shared" si="2"/>
        <v>490.50</v>
      </c>
      <c r="F54" s="123" t="str">
        <f t="shared" si="7"/>
        <v>6640</v>
      </c>
      <c r="G54" s="212">
        <f t="shared" si="1"/>
        <v>4.95</v>
      </c>
      <c r="H54" s="212" t="str">
        <f t="shared" si="3"/>
        <v>5385.00</v>
      </c>
      <c r="I54" s="212" t="str">
        <f t="shared" si="8"/>
        <v>1134.00</v>
      </c>
      <c r="J54" s="248">
        <v>306.3</v>
      </c>
      <c r="K54" s="249">
        <v>1028</v>
      </c>
      <c r="L54" s="212">
        <v>87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v>0.13807688716276326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3">
        <f t="shared" si="10"/>
        <v>38322</v>
      </c>
      <c r="C55" s="212" t="str">
        <f t="shared" si="5"/>
        <v>1511.75</v>
      </c>
      <c r="D55" s="212" t="str">
        <f t="shared" si="6"/>
        <v>1854.00</v>
      </c>
      <c r="E55" s="212" t="str">
        <f t="shared" si="2"/>
        <v>490.50</v>
      </c>
      <c r="F55" s="123" t="str">
        <f t="shared" si="7"/>
        <v>6640</v>
      </c>
      <c r="G55" s="212">
        <f t="shared" si="1"/>
        <v>4.95</v>
      </c>
      <c r="H55" s="212" t="str">
        <f t="shared" si="3"/>
        <v>5385.00</v>
      </c>
      <c r="I55" s="212" t="str">
        <f t="shared" si="8"/>
        <v>1134.00</v>
      </c>
      <c r="J55" s="248">
        <v>306.3</v>
      </c>
      <c r="K55" s="249">
        <v>1028</v>
      </c>
      <c r="L55" s="212">
        <v>87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v>0.13807688716276326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3">
        <f t="shared" si="10"/>
        <v>38353</v>
      </c>
      <c r="C56" s="212" t="str">
        <f t="shared" si="5"/>
        <v>1511.75</v>
      </c>
      <c r="D56" s="212" t="str">
        <f t="shared" si="6"/>
        <v>1854.00</v>
      </c>
      <c r="E56" s="212" t="str">
        <f t="shared" si="2"/>
        <v>490.50</v>
      </c>
      <c r="F56" s="123" t="str">
        <f t="shared" si="7"/>
        <v>6640</v>
      </c>
      <c r="G56" s="212">
        <f t="shared" si="1"/>
        <v>4.95</v>
      </c>
      <c r="H56" s="212" t="str">
        <f t="shared" si="3"/>
        <v>5385.00</v>
      </c>
      <c r="I56" s="212" t="str">
        <f t="shared" si="8"/>
        <v>1134.00</v>
      </c>
      <c r="J56" s="248">
        <v>306.3</v>
      </c>
      <c r="K56" s="249">
        <v>1028</v>
      </c>
      <c r="L56" s="212">
        <v>87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v>0.13807688716276326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3">
        <f t="shared" si="10"/>
        <v>38384</v>
      </c>
      <c r="C57" s="212" t="str">
        <f t="shared" si="5"/>
        <v>1511.75</v>
      </c>
      <c r="D57" s="212" t="str">
        <f t="shared" si="6"/>
        <v>1854.00</v>
      </c>
      <c r="E57" s="212" t="str">
        <f t="shared" si="2"/>
        <v>490.50</v>
      </c>
      <c r="F57" s="123" t="str">
        <f t="shared" si="7"/>
        <v>6640</v>
      </c>
      <c r="G57" s="212">
        <f t="shared" si="1"/>
        <v>4.95</v>
      </c>
      <c r="H57" s="212" t="str">
        <f t="shared" si="3"/>
        <v>5385.00</v>
      </c>
      <c r="I57" s="212" t="str">
        <f t="shared" si="8"/>
        <v>1134.00</v>
      </c>
      <c r="J57" s="248">
        <v>306.3</v>
      </c>
      <c r="K57" s="249">
        <v>1028</v>
      </c>
      <c r="L57" s="212">
        <v>87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v>0.13807688716276326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3">
        <f t="shared" si="10"/>
        <v>38412</v>
      </c>
      <c r="C58" s="212" t="str">
        <f t="shared" si="5"/>
        <v>1511.75</v>
      </c>
      <c r="D58" s="212" t="str">
        <f t="shared" si="6"/>
        <v>1854.00</v>
      </c>
      <c r="E58" s="212" t="str">
        <f t="shared" si="2"/>
        <v>490.50</v>
      </c>
      <c r="F58" s="123" t="str">
        <f t="shared" si="7"/>
        <v>6640</v>
      </c>
      <c r="G58" s="212">
        <f t="shared" si="1"/>
        <v>4.95</v>
      </c>
      <c r="H58" s="212" t="str">
        <f t="shared" si="3"/>
        <v>5385.00</v>
      </c>
      <c r="I58" s="212" t="str">
        <f t="shared" si="8"/>
        <v>1134.00</v>
      </c>
      <c r="J58" s="248">
        <v>306.3</v>
      </c>
      <c r="K58" s="249">
        <v>1028</v>
      </c>
      <c r="L58" s="212">
        <v>87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v>0.13807688716276326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3">
        <f t="shared" si="10"/>
        <v>38443</v>
      </c>
      <c r="C59" s="212" t="str">
        <f t="shared" si="5"/>
        <v>1511.75</v>
      </c>
      <c r="D59" s="212" t="str">
        <f t="shared" si="6"/>
        <v>1854.00</v>
      </c>
      <c r="E59" s="212" t="str">
        <f t="shared" si="2"/>
        <v>490.50</v>
      </c>
      <c r="F59" s="123" t="str">
        <f t="shared" si="7"/>
        <v>6640</v>
      </c>
      <c r="G59" s="212">
        <f t="shared" si="1"/>
        <v>4.95</v>
      </c>
      <c r="H59" s="212" t="str">
        <f t="shared" si="3"/>
        <v>5385.00</v>
      </c>
      <c r="I59" s="212" t="str">
        <f t="shared" si="8"/>
        <v>1134.00</v>
      </c>
      <c r="J59" s="248">
        <v>306.3</v>
      </c>
      <c r="K59" s="249">
        <v>1028</v>
      </c>
      <c r="L59" s="212">
        <v>87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v>0.13807688716276326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3">
        <f t="shared" si="10"/>
        <v>38473</v>
      </c>
      <c r="C60" s="212" t="str">
        <f t="shared" si="5"/>
        <v>1511.75</v>
      </c>
      <c r="D60" s="212" t="str">
        <f t="shared" si="6"/>
        <v>1854.00</v>
      </c>
      <c r="E60" s="212" t="str">
        <f t="shared" si="2"/>
        <v>490.50</v>
      </c>
      <c r="F60" s="123" t="str">
        <f t="shared" si="7"/>
        <v>6640</v>
      </c>
      <c r="G60" s="212">
        <f t="shared" si="1"/>
        <v>4.95</v>
      </c>
      <c r="H60" s="212" t="str">
        <f t="shared" si="3"/>
        <v>5385.00</v>
      </c>
      <c r="I60" s="212" t="str">
        <f t="shared" si="8"/>
        <v>1134.00</v>
      </c>
      <c r="J60" s="248">
        <v>306.3</v>
      </c>
      <c r="K60" s="249">
        <v>1028</v>
      </c>
      <c r="L60" s="212">
        <v>87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v>0.13807688716276326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3">
        <f t="shared" si="10"/>
        <v>38504</v>
      </c>
      <c r="C61" s="212" t="str">
        <f t="shared" si="5"/>
        <v>1511.75</v>
      </c>
      <c r="D61" s="212" t="str">
        <f t="shared" si="6"/>
        <v>1854.00</v>
      </c>
      <c r="E61" s="212" t="str">
        <f t="shared" si="2"/>
        <v>490.50</v>
      </c>
      <c r="F61" s="123" t="str">
        <f t="shared" si="7"/>
        <v>6640</v>
      </c>
      <c r="G61" s="212">
        <f t="shared" si="1"/>
        <v>4.95</v>
      </c>
      <c r="H61" s="212" t="str">
        <f t="shared" si="3"/>
        <v>5385.00</v>
      </c>
      <c r="I61" s="212" t="str">
        <f t="shared" si="8"/>
        <v>1134.00</v>
      </c>
      <c r="J61" s="248">
        <v>306.3</v>
      </c>
      <c r="K61" s="249">
        <v>1028</v>
      </c>
      <c r="L61" s="212">
        <v>87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v>0.13807688716276326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3">
        <f t="shared" si="10"/>
        <v>38534</v>
      </c>
      <c r="C62" s="212" t="str">
        <f t="shared" si="5"/>
        <v>1511.75</v>
      </c>
      <c r="D62" s="212" t="str">
        <f t="shared" si="6"/>
        <v>1854.00</v>
      </c>
      <c r="E62" s="212" t="str">
        <f t="shared" si="2"/>
        <v>490.50</v>
      </c>
      <c r="F62" s="123" t="str">
        <f t="shared" si="7"/>
        <v>6640</v>
      </c>
      <c r="G62" s="212">
        <f t="shared" si="1"/>
        <v>4.95</v>
      </c>
      <c r="H62" s="212" t="str">
        <f t="shared" si="3"/>
        <v>5385.00</v>
      </c>
      <c r="I62" s="212" t="str">
        <f t="shared" si="8"/>
        <v>1134.00</v>
      </c>
      <c r="J62" s="248">
        <v>306.3</v>
      </c>
      <c r="K62" s="249">
        <v>1028</v>
      </c>
      <c r="L62" s="212">
        <v>87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v>0.13807688716276326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3">
        <f t="shared" si="10"/>
        <v>38565</v>
      </c>
      <c r="C63" s="212" t="str">
        <f t="shared" si="5"/>
        <v>1511.75</v>
      </c>
      <c r="D63" s="212" t="str">
        <f t="shared" si="6"/>
        <v>1854.00</v>
      </c>
      <c r="E63" s="212" t="str">
        <f t="shared" si="2"/>
        <v>490.50</v>
      </c>
      <c r="F63" s="123" t="str">
        <f t="shared" si="7"/>
        <v>6640</v>
      </c>
      <c r="G63" s="212">
        <f t="shared" si="1"/>
        <v>4.95</v>
      </c>
      <c r="H63" s="212" t="str">
        <f t="shared" si="3"/>
        <v>5385.00</v>
      </c>
      <c r="I63" s="212" t="str">
        <f t="shared" si="8"/>
        <v>1134.00</v>
      </c>
      <c r="J63" s="248">
        <v>306.3</v>
      </c>
      <c r="K63" s="249">
        <v>1028</v>
      </c>
      <c r="L63" s="212">
        <v>87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v>0.13807688716276326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3">
        <f t="shared" si="10"/>
        <v>38596</v>
      </c>
      <c r="C64" s="212" t="str">
        <f t="shared" si="5"/>
        <v>1511.75</v>
      </c>
      <c r="D64" s="212" t="str">
        <f t="shared" si="6"/>
        <v>1854.00</v>
      </c>
      <c r="E64" s="212" t="str">
        <f t="shared" si="2"/>
        <v>490.50</v>
      </c>
      <c r="F64" s="123" t="str">
        <f t="shared" si="7"/>
        <v>6640</v>
      </c>
      <c r="G64" s="212">
        <f t="shared" si="1"/>
        <v>4.95</v>
      </c>
      <c r="H64" s="212" t="str">
        <f t="shared" si="3"/>
        <v>5385.00</v>
      </c>
      <c r="I64" s="212" t="str">
        <f t="shared" si="8"/>
        <v>1134.00</v>
      </c>
      <c r="J64" s="248">
        <v>306.3</v>
      </c>
      <c r="K64" s="249">
        <v>1028</v>
      </c>
      <c r="L64" s="212">
        <v>87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v>0.13807688716276326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3">
        <f t="shared" si="10"/>
        <v>38626</v>
      </c>
      <c r="C65" s="212" t="str">
        <f t="shared" si="5"/>
        <v>1511.75</v>
      </c>
      <c r="D65" s="212" t="str">
        <f t="shared" si="6"/>
        <v>1854.00</v>
      </c>
      <c r="E65" s="212" t="str">
        <f t="shared" si="2"/>
        <v>490.50</v>
      </c>
      <c r="F65" s="123" t="str">
        <f t="shared" si="7"/>
        <v>6640</v>
      </c>
      <c r="G65" s="212">
        <f t="shared" si="1"/>
        <v>4.95</v>
      </c>
      <c r="H65" s="212" t="str">
        <f t="shared" si="3"/>
        <v>5385.00</v>
      </c>
      <c r="I65" s="212" t="str">
        <f t="shared" si="8"/>
        <v>1134.00</v>
      </c>
      <c r="J65" s="248">
        <v>306.3</v>
      </c>
      <c r="K65" s="249">
        <v>1028</v>
      </c>
      <c r="L65" s="212">
        <v>87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v>0.13807688716276326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3">
        <f t="shared" si="10"/>
        <v>38657</v>
      </c>
      <c r="C66" s="212" t="str">
        <f t="shared" si="5"/>
        <v>1511.75</v>
      </c>
      <c r="D66" s="212" t="str">
        <f t="shared" si="6"/>
        <v>1854.00</v>
      </c>
      <c r="E66" s="212" t="str">
        <f t="shared" si="2"/>
        <v>490.50</v>
      </c>
      <c r="F66" s="123" t="str">
        <f t="shared" si="7"/>
        <v>6640</v>
      </c>
      <c r="G66" s="212">
        <f t="shared" si="1"/>
        <v>4.95</v>
      </c>
      <c r="H66" s="212" t="str">
        <f t="shared" si="3"/>
        <v>5385.00</v>
      </c>
      <c r="I66" s="212" t="str">
        <f t="shared" si="8"/>
        <v>1134.00</v>
      </c>
      <c r="J66" s="248">
        <v>306.3</v>
      </c>
      <c r="K66" s="249">
        <v>1028</v>
      </c>
      <c r="L66" s="212">
        <v>87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v>0.13807688716276326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3">
        <f t="shared" si="10"/>
        <v>38687</v>
      </c>
      <c r="C67" s="212" t="str">
        <f t="shared" si="5"/>
        <v>1511.75</v>
      </c>
      <c r="D67" s="212" t="str">
        <f t="shared" si="6"/>
        <v>1854.00</v>
      </c>
      <c r="E67" s="212" t="str">
        <f t="shared" si="2"/>
        <v>490.50</v>
      </c>
      <c r="F67" s="123" t="str">
        <f t="shared" si="7"/>
        <v>6640</v>
      </c>
      <c r="G67" s="212">
        <f t="shared" si="1"/>
        <v>4.95</v>
      </c>
      <c r="H67" s="212" t="str">
        <f t="shared" si="3"/>
        <v>5385.00</v>
      </c>
      <c r="I67" s="212" t="str">
        <f t="shared" si="8"/>
        <v>1134.00</v>
      </c>
      <c r="J67" s="248">
        <v>306.3</v>
      </c>
      <c r="K67" s="249">
        <v>1028</v>
      </c>
      <c r="L67" s="212">
        <v>87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v>0.13807688716276326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3">
        <f t="shared" si="10"/>
        <v>38718</v>
      </c>
      <c r="C68" s="212" t="str">
        <f t="shared" si="5"/>
        <v>1511.75</v>
      </c>
      <c r="D68" s="212" t="str">
        <f t="shared" si="6"/>
        <v>1854.00</v>
      </c>
      <c r="E68" s="212" t="str">
        <f t="shared" si="2"/>
        <v>490.50</v>
      </c>
      <c r="F68" s="123" t="str">
        <f t="shared" si="7"/>
        <v>6640</v>
      </c>
      <c r="G68" s="212">
        <f t="shared" si="1"/>
        <v>4.95</v>
      </c>
      <c r="H68" s="212" t="str">
        <f t="shared" si="3"/>
        <v>5385.00</v>
      </c>
      <c r="I68" s="212" t="str">
        <f t="shared" si="8"/>
        <v>1134.00</v>
      </c>
      <c r="J68" s="248">
        <v>306.3</v>
      </c>
      <c r="K68" s="249">
        <v>1028</v>
      </c>
      <c r="L68" s="212">
        <v>87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v>0.13807688716276326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3">
        <f t="shared" si="10"/>
        <v>38749</v>
      </c>
      <c r="C69" s="212" t="str">
        <f t="shared" si="5"/>
        <v>1511.75</v>
      </c>
      <c r="D69" s="212" t="str">
        <f t="shared" si="6"/>
        <v>1854.00</v>
      </c>
      <c r="E69" s="212" t="str">
        <f t="shared" si="2"/>
        <v>490.50</v>
      </c>
      <c r="F69" s="123" t="str">
        <f t="shared" si="7"/>
        <v>6640</v>
      </c>
      <c r="G69" s="212">
        <f t="shared" si="1"/>
        <v>4.95</v>
      </c>
      <c r="H69" s="212" t="str">
        <f t="shared" si="3"/>
        <v>5385.00</v>
      </c>
      <c r="I69" s="212" t="str">
        <f t="shared" si="8"/>
        <v>1134.00</v>
      </c>
      <c r="J69" s="248">
        <v>306.3</v>
      </c>
      <c r="K69" s="249">
        <v>1028</v>
      </c>
      <c r="L69" s="212">
        <v>87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v>0.13807688716276326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3">
        <f t="shared" si="10"/>
        <v>38777</v>
      </c>
      <c r="C70" s="212" t="str">
        <f t="shared" si="5"/>
        <v>1511.75</v>
      </c>
      <c r="D70" s="212" t="str">
        <f t="shared" si="6"/>
        <v>1854.00</v>
      </c>
      <c r="E70" s="212" t="str">
        <f t="shared" si="2"/>
        <v>490.50</v>
      </c>
      <c r="F70" s="123" t="str">
        <f t="shared" si="7"/>
        <v>6640</v>
      </c>
      <c r="G70" s="212">
        <f t="shared" si="1"/>
        <v>4.95</v>
      </c>
      <c r="H70" s="212" t="str">
        <f t="shared" si="3"/>
        <v>5385.00</v>
      </c>
      <c r="I70" s="212" t="str">
        <f t="shared" si="8"/>
        <v>1134.00</v>
      </c>
      <c r="J70" s="248">
        <v>306.3</v>
      </c>
      <c r="K70" s="249">
        <v>1028</v>
      </c>
      <c r="L70" s="212">
        <v>87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v>0.13807688716276326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3">
        <f t="shared" si="10"/>
        <v>38808</v>
      </c>
      <c r="C71" s="212" t="str">
        <f t="shared" si="5"/>
        <v>1511.75</v>
      </c>
      <c r="D71" s="212" t="str">
        <f t="shared" si="6"/>
        <v>1854.00</v>
      </c>
      <c r="E71" s="212" t="str">
        <f t="shared" si="2"/>
        <v>490.50</v>
      </c>
      <c r="F71" s="123" t="str">
        <f t="shared" si="7"/>
        <v>6640</v>
      </c>
      <c r="G71" s="212">
        <f t="shared" si="1"/>
        <v>4.95</v>
      </c>
      <c r="H71" s="212" t="str">
        <f t="shared" si="3"/>
        <v>5385.00</v>
      </c>
      <c r="I71" s="212" t="str">
        <f t="shared" si="8"/>
        <v>1134.00</v>
      </c>
      <c r="J71" s="248">
        <v>306.3</v>
      </c>
      <c r="K71" s="249">
        <v>1028</v>
      </c>
      <c r="L71" s="212">
        <v>87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v>0.13807688716276326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3">
        <f t="shared" si="10"/>
        <v>38838</v>
      </c>
      <c r="C72" s="212" t="str">
        <f t="shared" si="5"/>
        <v>1511.75</v>
      </c>
      <c r="D72" s="212" t="str">
        <f t="shared" si="6"/>
        <v>1854.00</v>
      </c>
      <c r="E72" s="212" t="str">
        <f t="shared" si="2"/>
        <v>490.50</v>
      </c>
      <c r="F72" s="123" t="str">
        <f t="shared" si="7"/>
        <v>6640</v>
      </c>
      <c r="G72" s="212">
        <f t="shared" si="1"/>
        <v>4.95</v>
      </c>
      <c r="H72" s="212" t="str">
        <f t="shared" si="3"/>
        <v>5385.00</v>
      </c>
      <c r="I72" s="212" t="str">
        <f t="shared" si="8"/>
        <v>1134.00</v>
      </c>
      <c r="J72" s="248">
        <v>306.3</v>
      </c>
      <c r="K72" s="249">
        <v>1028</v>
      </c>
      <c r="L72" s="212">
        <v>87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v>0.13807688716276326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3">
        <f t="shared" si="10"/>
        <v>38869</v>
      </c>
      <c r="C73" s="212" t="str">
        <f t="shared" si="5"/>
        <v>1511.75</v>
      </c>
      <c r="D73" s="212" t="str">
        <f t="shared" si="6"/>
        <v>1854.00</v>
      </c>
      <c r="E73" s="212" t="str">
        <f t="shared" si="2"/>
        <v>490.50</v>
      </c>
      <c r="F73" s="123" t="str">
        <f t="shared" si="7"/>
        <v>6640</v>
      </c>
      <c r="G73" s="212">
        <f t="shared" si="1"/>
        <v>4.95</v>
      </c>
      <c r="H73" s="212" t="str">
        <f t="shared" si="3"/>
        <v>5385.00</v>
      </c>
      <c r="I73" s="212" t="str">
        <f t="shared" si="8"/>
        <v>1134.00</v>
      </c>
      <c r="J73" s="248">
        <v>306.3</v>
      </c>
      <c r="K73" s="249">
        <v>1028</v>
      </c>
      <c r="L73" s="212">
        <v>87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v>0.13807688716276326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3">
        <f t="shared" si="10"/>
        <v>38899</v>
      </c>
      <c r="C74" s="212" t="str">
        <f t="shared" si="5"/>
        <v>1511.75</v>
      </c>
      <c r="D74" s="212" t="str">
        <f t="shared" si="6"/>
        <v>1854.00</v>
      </c>
      <c r="E74" s="212" t="str">
        <f t="shared" si="2"/>
        <v>490.50</v>
      </c>
      <c r="F74" s="123" t="str">
        <f t="shared" si="7"/>
        <v>6640</v>
      </c>
      <c r="G74" s="212">
        <f t="shared" si="1"/>
        <v>4.95</v>
      </c>
      <c r="H74" s="212" t="str">
        <f t="shared" si="3"/>
        <v>5385.00</v>
      </c>
      <c r="I74" s="212" t="str">
        <f t="shared" si="8"/>
        <v>1134.00</v>
      </c>
      <c r="J74" s="248">
        <v>306.3</v>
      </c>
      <c r="K74" s="249">
        <v>1028</v>
      </c>
      <c r="L74" s="212">
        <v>87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v>0.13807688716276326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3">
        <f t="shared" si="10"/>
        <v>38930</v>
      </c>
      <c r="C75" s="212" t="str">
        <f t="shared" si="5"/>
        <v>1511.75</v>
      </c>
      <c r="D75" s="212" t="str">
        <f t="shared" si="6"/>
        <v>1854.00</v>
      </c>
      <c r="E75" s="212" t="str">
        <f t="shared" si="2"/>
        <v>490.50</v>
      </c>
      <c r="F75" s="123" t="str">
        <f t="shared" si="7"/>
        <v>6640</v>
      </c>
      <c r="G75" s="212">
        <f t="shared" si="1"/>
        <v>4.95</v>
      </c>
      <c r="H75" s="212" t="str">
        <f t="shared" si="3"/>
        <v>5385.00</v>
      </c>
      <c r="I75" s="212" t="str">
        <f t="shared" si="8"/>
        <v>1134.00</v>
      </c>
      <c r="J75" s="248">
        <v>306.3</v>
      </c>
      <c r="K75" s="249">
        <v>1028</v>
      </c>
      <c r="L75" s="212">
        <v>87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v>0.13807688716276326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3">
        <f t="shared" si="10"/>
        <v>38961</v>
      </c>
      <c r="C76" s="212" t="str">
        <f t="shared" si="5"/>
        <v>1511.75</v>
      </c>
      <c r="D76" s="212" t="str">
        <f t="shared" si="6"/>
        <v>1854.00</v>
      </c>
      <c r="E76" s="212" t="str">
        <f t="shared" si="2"/>
        <v>490.50</v>
      </c>
      <c r="F76" s="123" t="str">
        <f t="shared" si="7"/>
        <v>6640</v>
      </c>
      <c r="G76" s="212">
        <f t="shared" si="1"/>
        <v>4.95</v>
      </c>
      <c r="H76" s="212" t="str">
        <f t="shared" si="3"/>
        <v>5385.00</v>
      </c>
      <c r="I76" s="212" t="str">
        <f t="shared" si="8"/>
        <v>1134.00</v>
      </c>
      <c r="J76" s="248">
        <v>306.3</v>
      </c>
      <c r="K76" s="249">
        <v>1028</v>
      </c>
      <c r="L76" s="212">
        <v>87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v>0.13807688716276326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3">
        <f t="shared" si="10"/>
        <v>38991</v>
      </c>
      <c r="C77" s="212" t="str">
        <f t="shared" si="5"/>
        <v>1511.75</v>
      </c>
      <c r="D77" s="212" t="str">
        <f t="shared" si="6"/>
        <v>1854.00</v>
      </c>
      <c r="E77" s="212" t="str">
        <f t="shared" si="2"/>
        <v>490.50</v>
      </c>
      <c r="F77" s="123" t="str">
        <f t="shared" si="7"/>
        <v>6640</v>
      </c>
      <c r="G77" s="212">
        <f t="shared" si="1"/>
        <v>4.95</v>
      </c>
      <c r="H77" s="212" t="str">
        <f t="shared" si="3"/>
        <v>5385.00</v>
      </c>
      <c r="I77" s="212" t="str">
        <f t="shared" si="8"/>
        <v>1134.00</v>
      </c>
      <c r="J77" s="248">
        <v>306.3</v>
      </c>
      <c r="K77" s="249">
        <v>1028</v>
      </c>
      <c r="L77" s="212">
        <v>87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v>0.13807688716276326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3">
        <f t="shared" si="10"/>
        <v>39022</v>
      </c>
      <c r="C78" s="212" t="str">
        <f t="shared" si="5"/>
        <v>1511.75</v>
      </c>
      <c r="D78" s="212" t="str">
        <f t="shared" si="6"/>
        <v>1854.00</v>
      </c>
      <c r="E78" s="212" t="str">
        <f t="shared" si="2"/>
        <v>490.50</v>
      </c>
      <c r="F78" s="123" t="str">
        <f t="shared" si="7"/>
        <v>6640</v>
      </c>
      <c r="G78" s="212">
        <f t="shared" si="1"/>
        <v>4.95</v>
      </c>
      <c r="H78" s="212" t="str">
        <f t="shared" si="3"/>
        <v>5385.00</v>
      </c>
      <c r="I78" s="212" t="str">
        <f t="shared" si="8"/>
        <v>1134.00</v>
      </c>
      <c r="J78" s="248">
        <v>306.3</v>
      </c>
      <c r="K78" s="249">
        <v>1028</v>
      </c>
      <c r="L78" s="212">
        <v>87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v>0.13807688716276326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3">
        <f t="shared" si="10"/>
        <v>39052</v>
      </c>
      <c r="C79" s="212" t="str">
        <f t="shared" si="5"/>
        <v>1511.75</v>
      </c>
      <c r="D79" s="212" t="str">
        <f t="shared" si="6"/>
        <v>1854.00</v>
      </c>
      <c r="E79" s="212" t="str">
        <f t="shared" si="2"/>
        <v>490.50</v>
      </c>
      <c r="F79" s="123" t="str">
        <f t="shared" si="7"/>
        <v>6640</v>
      </c>
      <c r="G79" s="212">
        <f t="shared" si="1"/>
        <v>4.95</v>
      </c>
      <c r="H79" s="212" t="str">
        <f t="shared" si="3"/>
        <v>5385.00</v>
      </c>
      <c r="I79" s="212" t="str">
        <f t="shared" si="8"/>
        <v>1134.00</v>
      </c>
      <c r="J79" s="248">
        <v>306.3</v>
      </c>
      <c r="K79" s="249">
        <v>1028</v>
      </c>
      <c r="L79" s="212">
        <v>87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v>0.13807688716276326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3">
        <f t="shared" si="10"/>
        <v>39083</v>
      </c>
      <c r="C80" s="212" t="str">
        <f t="shared" si="5"/>
        <v>1511.75</v>
      </c>
      <c r="D80" s="212" t="str">
        <f t="shared" si="6"/>
        <v>1854.00</v>
      </c>
      <c r="E80" s="212" t="str">
        <f t="shared" si="2"/>
        <v>490.50</v>
      </c>
      <c r="F80" s="123" t="str">
        <f t="shared" si="7"/>
        <v>6640</v>
      </c>
      <c r="G80" s="212">
        <f t="shared" si="1"/>
        <v>4.95</v>
      </c>
      <c r="H80" s="212" t="str">
        <f t="shared" si="3"/>
        <v>5385.00</v>
      </c>
      <c r="I80" s="212" t="str">
        <f t="shared" si="8"/>
        <v>1134.00</v>
      </c>
      <c r="J80" s="248">
        <v>306.3</v>
      </c>
      <c r="K80" s="249">
        <v>1028</v>
      </c>
      <c r="L80" s="212">
        <v>87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v>0.13807688716276326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5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5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5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5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5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5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5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5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5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5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5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5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5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5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5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5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5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5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5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5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5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5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5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5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5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5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5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5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5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5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5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5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5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5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5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5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5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5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5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5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5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5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5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5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5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5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5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5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5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5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5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5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5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5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5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5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5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5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5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5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5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5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5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5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5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5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5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5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5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5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5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5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5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5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5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5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5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5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5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5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5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5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5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5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5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5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5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5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5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5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5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5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5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5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5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5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5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5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5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5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5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5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5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5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5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5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5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5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5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5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5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5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5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5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5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5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5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5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5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5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5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5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5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5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5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5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5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5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5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5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5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5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5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5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5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5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5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5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5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5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5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5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5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5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5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5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5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5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5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5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5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5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5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5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5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5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5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5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5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5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5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5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5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5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5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5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5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5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5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5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5">
      <c r="M252" s="225"/>
      <c r="O252" s="220"/>
    </row>
    <row r="253" spans="3:29" x14ac:dyDescent="0.25">
      <c r="M253" s="225"/>
      <c r="O253" s="220"/>
    </row>
    <row r="254" spans="3:29" x14ac:dyDescent="0.25">
      <c r="M254" s="225"/>
      <c r="O254" s="220"/>
    </row>
    <row r="255" spans="3:29" x14ac:dyDescent="0.25">
      <c r="M255" s="225"/>
      <c r="O255" s="220"/>
    </row>
    <row r="256" spans="3:29" x14ac:dyDescent="0.25">
      <c r="M256" s="225"/>
      <c r="O256" s="220"/>
    </row>
    <row r="257" spans="13:15" x14ac:dyDescent="0.25">
      <c r="M257" s="225"/>
      <c r="O257" s="220"/>
    </row>
    <row r="258" spans="13:15" x14ac:dyDescent="0.25">
      <c r="M258" s="225"/>
      <c r="O258" s="220"/>
    </row>
    <row r="259" spans="13:15" x14ac:dyDescent="0.25">
      <c r="M259" s="225"/>
      <c r="O259" s="220"/>
    </row>
    <row r="260" spans="13:15" x14ac:dyDescent="0.25">
      <c r="M260" s="225"/>
      <c r="O260" s="220"/>
    </row>
    <row r="261" spans="13:15" x14ac:dyDescent="0.25">
      <c r="M261" s="225"/>
      <c r="O261" s="220"/>
    </row>
    <row r="262" spans="13:15" x14ac:dyDescent="0.25">
      <c r="M262" s="225"/>
      <c r="O262" s="220"/>
    </row>
    <row r="263" spans="13:15" x14ac:dyDescent="0.25">
      <c r="M263" s="225"/>
      <c r="O263" s="220"/>
    </row>
    <row r="264" spans="13:15" x14ac:dyDescent="0.25">
      <c r="M264" s="225"/>
      <c r="O264" s="220"/>
    </row>
    <row r="265" spans="13:15" x14ac:dyDescent="0.25">
      <c r="M265" s="225"/>
      <c r="O265" s="220"/>
    </row>
    <row r="266" spans="13:15" x14ac:dyDescent="0.25">
      <c r="M266" s="225"/>
      <c r="O266" s="220"/>
    </row>
    <row r="267" spans="13:15" x14ac:dyDescent="0.25">
      <c r="M267" s="225"/>
      <c r="O267" s="220"/>
    </row>
    <row r="268" spans="13:15" x14ac:dyDescent="0.25">
      <c r="M268" s="225"/>
      <c r="O268" s="220"/>
    </row>
    <row r="269" spans="13:15" x14ac:dyDescent="0.25">
      <c r="M269" s="225"/>
      <c r="O269" s="220"/>
    </row>
    <row r="270" spans="13:15" x14ac:dyDescent="0.25">
      <c r="M270" s="225"/>
      <c r="O270" s="220"/>
    </row>
    <row r="271" spans="13:15" x14ac:dyDescent="0.25">
      <c r="M271" s="225"/>
      <c r="O271" s="220"/>
    </row>
    <row r="272" spans="13:15" x14ac:dyDescent="0.25">
      <c r="M272" s="225"/>
      <c r="O272" s="220"/>
    </row>
    <row r="273" spans="13:15" x14ac:dyDescent="0.25">
      <c r="M273" s="225"/>
      <c r="O273" s="220"/>
    </row>
    <row r="274" spans="13:15" x14ac:dyDescent="0.25">
      <c r="M274" s="225"/>
      <c r="O274" s="220"/>
    </row>
    <row r="275" spans="13:15" x14ac:dyDescent="0.25">
      <c r="M275" s="225"/>
      <c r="O275" s="220"/>
    </row>
    <row r="276" spans="13:15" x14ac:dyDescent="0.25">
      <c r="M276" s="225"/>
      <c r="O276" s="220"/>
    </row>
    <row r="277" spans="13:15" x14ac:dyDescent="0.25">
      <c r="M277" s="225"/>
      <c r="O277" s="220"/>
    </row>
    <row r="278" spans="13:15" x14ac:dyDescent="0.25">
      <c r="M278" s="225"/>
      <c r="O278" s="220"/>
    </row>
    <row r="279" spans="13:15" x14ac:dyDescent="0.25">
      <c r="M279" s="225"/>
      <c r="O279" s="220"/>
    </row>
    <row r="280" spans="13:15" x14ac:dyDescent="0.25">
      <c r="M280" s="225"/>
      <c r="O280" s="220"/>
    </row>
    <row r="281" spans="13:15" x14ac:dyDescent="0.25">
      <c r="M281" s="225"/>
      <c r="O281" s="220"/>
    </row>
    <row r="282" spans="13:15" x14ac:dyDescent="0.25">
      <c r="M282" s="225"/>
      <c r="O282" s="220"/>
    </row>
    <row r="283" spans="13:15" x14ac:dyDescent="0.25">
      <c r="M283" s="225"/>
      <c r="O283" s="220"/>
    </row>
    <row r="284" spans="13:15" x14ac:dyDescent="0.25">
      <c r="M284" s="225"/>
      <c r="O284" s="220"/>
    </row>
    <row r="285" spans="13:15" x14ac:dyDescent="0.25">
      <c r="M285" s="225"/>
      <c r="O285" s="220"/>
    </row>
    <row r="286" spans="13:15" x14ac:dyDescent="0.25">
      <c r="M286" s="225"/>
      <c r="O286" s="220"/>
    </row>
    <row r="287" spans="13:15" x14ac:dyDescent="0.25">
      <c r="M287" s="225"/>
      <c r="O287" s="220"/>
    </row>
    <row r="288" spans="13:15" x14ac:dyDescent="0.25">
      <c r="M288" s="225"/>
      <c r="O288" s="220"/>
    </row>
    <row r="289" spans="13:15" x14ac:dyDescent="0.25">
      <c r="M289" s="225"/>
      <c r="O289" s="220"/>
    </row>
    <row r="290" spans="13:15" x14ac:dyDescent="0.25">
      <c r="M290" s="225"/>
      <c r="O290" s="220"/>
    </row>
    <row r="291" spans="13:15" x14ac:dyDescent="0.25">
      <c r="M291" s="225"/>
      <c r="O291" s="220"/>
    </row>
    <row r="292" spans="13:15" x14ac:dyDescent="0.25">
      <c r="M292" s="225"/>
      <c r="O292" s="220"/>
    </row>
    <row r="293" spans="13:15" x14ac:dyDescent="0.25">
      <c r="M293" s="225"/>
      <c r="O293" s="220"/>
    </row>
    <row r="294" spans="13:15" x14ac:dyDescent="0.25">
      <c r="M294" s="225"/>
      <c r="O294" s="220"/>
    </row>
    <row r="295" spans="13:15" x14ac:dyDescent="0.25">
      <c r="M295" s="225"/>
      <c r="O295" s="220"/>
    </row>
    <row r="296" spans="13:15" x14ac:dyDescent="0.25">
      <c r="M296" s="225"/>
      <c r="O296" s="220"/>
    </row>
    <row r="297" spans="13:15" x14ac:dyDescent="0.25">
      <c r="M297" s="225"/>
      <c r="O297" s="220"/>
    </row>
    <row r="298" spans="13:15" x14ac:dyDescent="0.25">
      <c r="M298" s="225"/>
      <c r="O298" s="220"/>
    </row>
    <row r="299" spans="13:15" x14ac:dyDescent="0.25">
      <c r="M299" s="225"/>
      <c r="O299" s="220"/>
    </row>
    <row r="300" spans="13:15" x14ac:dyDescent="0.25">
      <c r="M300" s="225"/>
      <c r="O300" s="220"/>
    </row>
    <row r="301" spans="13:15" x14ac:dyDescent="0.25">
      <c r="M301" s="225"/>
      <c r="O301" s="220"/>
    </row>
    <row r="302" spans="13:15" x14ac:dyDescent="0.25">
      <c r="M302" s="225"/>
      <c r="O302" s="220"/>
    </row>
    <row r="303" spans="13:15" x14ac:dyDescent="0.25">
      <c r="M303" s="225"/>
      <c r="O303" s="220"/>
    </row>
    <row r="304" spans="13:15" x14ac:dyDescent="0.25">
      <c r="M304" s="225"/>
      <c r="O304" s="220"/>
    </row>
    <row r="305" spans="13:15" x14ac:dyDescent="0.25">
      <c r="M305" s="225"/>
      <c r="O305" s="220"/>
    </row>
    <row r="306" spans="13:15" x14ac:dyDescent="0.25">
      <c r="M306" s="225"/>
      <c r="O306" s="220"/>
    </row>
    <row r="307" spans="13:15" x14ac:dyDescent="0.25">
      <c r="M307" s="225"/>
      <c r="O307" s="220"/>
    </row>
    <row r="308" spans="13:15" x14ac:dyDescent="0.25">
      <c r="M308" s="225"/>
      <c r="O308" s="220"/>
    </row>
    <row r="309" spans="13:15" x14ac:dyDescent="0.25">
      <c r="M309" s="225"/>
      <c r="O309" s="220"/>
    </row>
    <row r="310" spans="13:15" x14ac:dyDescent="0.25">
      <c r="M310" s="225"/>
      <c r="O310" s="220"/>
    </row>
    <row r="311" spans="13:15" x14ac:dyDescent="0.25">
      <c r="M311" s="225"/>
      <c r="O311" s="220"/>
    </row>
    <row r="312" spans="13:15" x14ac:dyDescent="0.25">
      <c r="M312" s="225"/>
      <c r="O312" s="220"/>
    </row>
    <row r="313" spans="13:15" x14ac:dyDescent="0.25">
      <c r="M313" s="225"/>
      <c r="O313" s="220"/>
    </row>
    <row r="314" spans="13:15" x14ac:dyDescent="0.25">
      <c r="M314" s="225"/>
      <c r="O314" s="220"/>
    </row>
    <row r="315" spans="13:15" x14ac:dyDescent="0.25">
      <c r="M315" s="225"/>
      <c r="O315" s="220"/>
    </row>
    <row r="316" spans="13:15" x14ac:dyDescent="0.25">
      <c r="M316" s="225"/>
      <c r="O316" s="220"/>
    </row>
    <row r="317" spans="13:15" x14ac:dyDescent="0.25">
      <c r="M317" s="225"/>
      <c r="O317" s="220"/>
    </row>
    <row r="318" spans="13:15" x14ac:dyDescent="0.25">
      <c r="M318" s="225"/>
      <c r="O318" s="220"/>
    </row>
    <row r="319" spans="13:15" x14ac:dyDescent="0.25">
      <c r="M319" s="225"/>
      <c r="O319" s="220"/>
    </row>
    <row r="320" spans="13:15" x14ac:dyDescent="0.25">
      <c r="M320" s="225"/>
      <c r="O320" s="220"/>
    </row>
    <row r="321" spans="13:15" x14ac:dyDescent="0.25">
      <c r="M321" s="225"/>
      <c r="O321" s="220"/>
    </row>
    <row r="322" spans="13:15" x14ac:dyDescent="0.25">
      <c r="M322" s="225"/>
      <c r="O322" s="220"/>
    </row>
    <row r="323" spans="13:15" x14ac:dyDescent="0.25">
      <c r="M323" s="225"/>
      <c r="O323" s="220"/>
    </row>
    <row r="324" spans="13:15" x14ac:dyDescent="0.25">
      <c r="M324" s="225"/>
      <c r="O324" s="220"/>
    </row>
    <row r="325" spans="13:15" x14ac:dyDescent="0.25">
      <c r="M325" s="225"/>
      <c r="O325" s="220"/>
    </row>
    <row r="326" spans="13:15" x14ac:dyDescent="0.25">
      <c r="M326" s="225"/>
      <c r="O326" s="220"/>
    </row>
    <row r="327" spans="13:15" x14ac:dyDescent="0.25">
      <c r="M327" s="225"/>
      <c r="O327" s="220"/>
    </row>
    <row r="328" spans="13:15" x14ac:dyDescent="0.25">
      <c r="M328" s="225"/>
      <c r="O328" s="220"/>
    </row>
    <row r="329" spans="13:15" x14ac:dyDescent="0.25">
      <c r="M329" s="225"/>
      <c r="O329" s="220"/>
    </row>
    <row r="330" spans="13:15" x14ac:dyDescent="0.25">
      <c r="M330" s="225"/>
      <c r="O330" s="220"/>
    </row>
    <row r="331" spans="13:15" x14ac:dyDescent="0.25">
      <c r="M331" s="225"/>
      <c r="O331" s="220"/>
    </row>
    <row r="332" spans="13:15" x14ac:dyDescent="0.25">
      <c r="M332" s="225"/>
      <c r="O332" s="220"/>
    </row>
    <row r="333" spans="13:15" x14ac:dyDescent="0.25">
      <c r="M333" s="225"/>
      <c r="O333" s="220"/>
    </row>
    <row r="334" spans="13:15" x14ac:dyDescent="0.25">
      <c r="M334" s="225"/>
      <c r="O334" s="220"/>
    </row>
    <row r="335" spans="13:15" x14ac:dyDescent="0.25">
      <c r="M335" s="225"/>
      <c r="O335" s="220"/>
    </row>
    <row r="336" spans="13:15" x14ac:dyDescent="0.25">
      <c r="M336" s="225"/>
      <c r="O336" s="220"/>
    </row>
    <row r="337" spans="13:15" x14ac:dyDescent="0.25">
      <c r="M337" s="225"/>
      <c r="O337" s="220"/>
    </row>
    <row r="338" spans="13:15" x14ac:dyDescent="0.25">
      <c r="M338" s="225"/>
      <c r="O338" s="220"/>
    </row>
    <row r="339" spans="13:15" x14ac:dyDescent="0.25">
      <c r="M339" s="225"/>
      <c r="O339" s="220"/>
    </row>
    <row r="340" spans="13:15" x14ac:dyDescent="0.25">
      <c r="M340" s="225"/>
      <c r="O340" s="220"/>
    </row>
    <row r="341" spans="13:15" x14ac:dyDescent="0.25">
      <c r="M341" s="225"/>
      <c r="O341" s="220"/>
    </row>
    <row r="342" spans="13:15" x14ac:dyDescent="0.25">
      <c r="M342" s="225"/>
      <c r="O342" s="220"/>
    </row>
    <row r="343" spans="13:15" x14ac:dyDescent="0.25">
      <c r="M343" s="225"/>
      <c r="O343" s="220"/>
    </row>
    <row r="344" spans="13:15" x14ac:dyDescent="0.25">
      <c r="M344" s="225"/>
      <c r="O344" s="220"/>
    </row>
    <row r="345" spans="13:15" x14ac:dyDescent="0.25">
      <c r="M345" s="225"/>
      <c r="O345" s="220"/>
    </row>
    <row r="346" spans="13:15" x14ac:dyDescent="0.25">
      <c r="M346" s="225"/>
      <c r="O346" s="220"/>
    </row>
    <row r="347" spans="13:15" x14ac:dyDescent="0.25">
      <c r="M347" s="225"/>
      <c r="O347" s="220"/>
    </row>
    <row r="348" spans="13:15" x14ac:dyDescent="0.25">
      <c r="M348" s="225"/>
      <c r="O348" s="220"/>
    </row>
    <row r="349" spans="13:15" x14ac:dyDescent="0.25">
      <c r="M349" s="225"/>
      <c r="O349" s="220"/>
    </row>
    <row r="350" spans="13:15" x14ac:dyDescent="0.25">
      <c r="M350" s="225"/>
      <c r="O350" s="220"/>
    </row>
    <row r="351" spans="13:15" x14ac:dyDescent="0.25">
      <c r="M351" s="225"/>
      <c r="O351" s="220"/>
    </row>
    <row r="352" spans="13:15" x14ac:dyDescent="0.25">
      <c r="M352" s="225"/>
      <c r="O352" s="220"/>
    </row>
    <row r="353" spans="13:15" x14ac:dyDescent="0.25">
      <c r="M353" s="225"/>
      <c r="O353" s="220"/>
    </row>
    <row r="354" spans="13:15" x14ac:dyDescent="0.25">
      <c r="M354" s="225"/>
      <c r="O354" s="220"/>
    </row>
    <row r="355" spans="13:15" x14ac:dyDescent="0.25">
      <c r="M355" s="225"/>
      <c r="O355" s="220"/>
    </row>
    <row r="356" spans="13:15" x14ac:dyDescent="0.25">
      <c r="M356" s="225"/>
      <c r="O356" s="220"/>
    </row>
    <row r="357" spans="13:15" x14ac:dyDescent="0.25">
      <c r="M357" s="225"/>
      <c r="O357" s="220"/>
    </row>
    <row r="358" spans="13:15" x14ac:dyDescent="0.25">
      <c r="M358" s="225"/>
      <c r="O358" s="220"/>
    </row>
    <row r="359" spans="13:15" x14ac:dyDescent="0.25">
      <c r="M359" s="225"/>
      <c r="O359" s="220"/>
    </row>
    <row r="360" spans="13:15" x14ac:dyDescent="0.25">
      <c r="M360" s="225"/>
      <c r="O360" s="220"/>
    </row>
    <row r="361" spans="13:15" x14ac:dyDescent="0.25">
      <c r="M361" s="225"/>
      <c r="O361" s="220"/>
    </row>
    <row r="362" spans="13:15" x14ac:dyDescent="0.25">
      <c r="M362" s="17"/>
      <c r="O362" s="12"/>
    </row>
    <row r="363" spans="13:15" ht="13.8" thickBot="1" x14ac:dyDescent="0.3">
      <c r="M363" s="230"/>
      <c r="O363" s="12"/>
    </row>
    <row r="364" spans="13:15" x14ac:dyDescent="0.25">
      <c r="M364" s="231"/>
      <c r="O364" s="12"/>
    </row>
    <row r="365" spans="13:15" x14ac:dyDescent="0.25">
      <c r="M365" s="231"/>
      <c r="O365" s="12"/>
    </row>
    <row r="366" spans="13:15" x14ac:dyDescent="0.25">
      <c r="M366" s="231"/>
      <c r="O366" s="12"/>
    </row>
    <row r="367" spans="13:15" x14ac:dyDescent="0.25">
      <c r="M367" s="231"/>
      <c r="O367" s="12"/>
    </row>
    <row r="368" spans="13:15" x14ac:dyDescent="0.25">
      <c r="M368" s="231"/>
      <c r="O368" s="12"/>
    </row>
    <row r="369" spans="13:15" x14ac:dyDescent="0.25">
      <c r="M369" s="231"/>
      <c r="O369" s="12"/>
    </row>
    <row r="370" spans="13:15" x14ac:dyDescent="0.25">
      <c r="M370" s="231"/>
      <c r="O370" s="12"/>
    </row>
    <row r="371" spans="13:15" x14ac:dyDescent="0.25">
      <c r="M371" s="231"/>
      <c r="O371" s="12"/>
    </row>
    <row r="372" spans="13:15" x14ac:dyDescent="0.25">
      <c r="M372" s="231"/>
      <c r="O372" s="12"/>
    </row>
    <row r="373" spans="13:15" x14ac:dyDescent="0.25">
      <c r="M373" s="231"/>
      <c r="O373" s="12"/>
    </row>
    <row r="374" spans="13:15" x14ac:dyDescent="0.25">
      <c r="M374" s="231"/>
      <c r="O374" s="12"/>
    </row>
    <row r="375" spans="13:15" x14ac:dyDescent="0.25">
      <c r="M375" s="231"/>
      <c r="O375" s="12"/>
    </row>
    <row r="376" spans="13:15" x14ac:dyDescent="0.25">
      <c r="M376" s="231"/>
      <c r="O376" s="12"/>
    </row>
    <row r="377" spans="13:15" x14ac:dyDescent="0.25">
      <c r="M377" s="231"/>
      <c r="O377" s="12"/>
    </row>
    <row r="378" spans="13:15" x14ac:dyDescent="0.25">
      <c r="M378" s="231"/>
      <c r="O378" s="12"/>
    </row>
    <row r="379" spans="13:15" x14ac:dyDescent="0.25">
      <c r="M379" s="231"/>
      <c r="O379" s="12"/>
    </row>
    <row r="380" spans="13:15" x14ac:dyDescent="0.25">
      <c r="M380" s="231"/>
      <c r="O380" s="12"/>
    </row>
    <row r="381" spans="13:15" x14ac:dyDescent="0.25">
      <c r="M381" s="231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M20" sqref="M20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36708</v>
      </c>
      <c r="C2" s="103">
        <f>IF(ISNA(VLOOKUP($B2,'[2]MENGENLS1 27-07-2000'!$R$7:$S$71,2,0)),0,VLOOKUP($B2,'[2]MENGENLS1 27-07-2000'!$R$7:$S$71,2,0))</f>
        <v>255921</v>
      </c>
      <c r="D2" s="109">
        <f>IF(ISNA(VLOOKUP($B2,'[2]MENGENLS1 27-07-2000'!$U$7:$V$60,2,0)),0,VLOOKUP($B2,'[2]MENGENLS1 27-07-2000'!$U$7:$V$60,2,0))</f>
        <v>216648</v>
      </c>
      <c r="E2" s="104">
        <f>IF(ISNA(VLOOKUP($B2,'[2]MENGENLS1 27-07-2000'!$X$7:$Y$27,2,0)),0,VLOOKUP($B2,'[2]MENGENLS1 27-07-2000'!$X$7:$Y$27,2,0))</f>
        <v>112371</v>
      </c>
      <c r="F2" s="104">
        <f>IF(ISNA(VLOOKUP($B2,'[2]MENGENLS1 27-07-2000'!$AA$7:$AB$35,2,0)),0,VLOOKUP($B2,'[2]MENGENLS1 27-07-2000'!$AA$7:$AB$35,2,0))</f>
        <v>2525</v>
      </c>
      <c r="G2" s="104">
        <f>IF(ISNA(VLOOKUP($B2,'[2]MENGENLS1 27-07-2000'!$AD$7:$AE$38,2,0)),0,VLOOKUP($B2,'[2]MENGENLS1 27-07-2000'!$AD$7:$AE$38,2,0))</f>
        <v>896845</v>
      </c>
      <c r="H2" s="109">
        <f>IF(ISNA(VLOOKUP($B2,'[2]MENGENLS1 27-07-2000'!$AG$7:$AH$20,2,0)),0,VLOOKUP($B2,'[2]MENGENLS1 27-07-2000'!$AG$7:$AH$20,2,0))</f>
        <v>1397</v>
      </c>
      <c r="I2" s="104">
        <f>IF(ISNA(VLOOKUP($B2,'[2]MENGENLS1 27-07-2000'!$AJ$7:$AK$38,2,0)),0,VLOOKUP($B2,'[2]MENGENLS1 27-07-2000'!$AJ$7:$AK$38,2,0))</f>
        <v>72637</v>
      </c>
      <c r="J2" s="104">
        <f>IF(ISNA(VLOOKUP($B2,'[2]MENGENLS1 27-07-2000'!$AM$7:$AN$38,2,0)),0,VLOOKUP($B2,'[2]MENGENLS1 27-07-2000'!$AM$7:$AN$38,2,0))</f>
        <v>10223</v>
      </c>
      <c r="K2" s="104">
        <f>IF(ISNA(VLOOKUP($B2,'[2]MENGENLS1 27-07-2000'!$AP$7:$AQ$12,2,0)),0,VLOOKUP($B2,'[2]MENGENLS1 27-07-2000'!$AP$7:$AQ$12,2,0))</f>
        <v>71845</v>
      </c>
      <c r="L2" s="98">
        <f>IF(ISNA(VLOOKUP($B2,'[2]MENGENLS1 27-07-2000'!$AS$7:$AT$23,2,0)),0,VLOOKUP($B2,'[2]MENGENLS1 27-07-2000'!$AS$7:$AT$23,2,0))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5">
      <c r="B3" s="107">
        <f>DATE(YEAR(B2),MONTH(B2)+1,1)</f>
        <v>36739</v>
      </c>
      <c r="C3" s="108">
        <f>IF(ISNA(VLOOKUP($B3,'[2]MENGENLS1 27-07-2000'!$R$7:$S$71,2,0)),0,VLOOKUP($B3,'[2]MENGENLS1 27-07-2000'!$R$7:$S$71,2,0))</f>
        <v>-238471</v>
      </c>
      <c r="D3" s="109">
        <f>IF(ISNA(VLOOKUP($B3,'[2]MENGENLS1 27-07-2000'!$U$7:$V$60,2,0)),0,VLOOKUP($B3,'[2]MENGENLS1 27-07-2000'!$U$7:$V$60,2,0))</f>
        <v>213861</v>
      </c>
      <c r="E3" s="109">
        <f>IF(ISNA(VLOOKUP($B3,'[2]MENGENLS1 27-07-2000'!$X$7:$Y$27,2,0)),0,VLOOKUP($B3,'[2]MENGENLS1 27-07-2000'!$X$7:$Y$27,2,0))</f>
        <v>-20836</v>
      </c>
      <c r="F3" s="109">
        <f>IF(ISNA(VLOOKUP($B3,'[2]MENGENLS1 27-07-2000'!$AA$7:$AB$35,2,0)),0,VLOOKUP($B3,'[2]MENGENLS1 27-07-2000'!$AA$7:$AB$35,2,0))</f>
        <v>4864</v>
      </c>
      <c r="G3" s="109">
        <f>IF(ISNA(VLOOKUP($B3,'[2]MENGENLS1 27-07-2000'!$AD$7:$AE$38,2,0)),0,VLOOKUP($B3,'[2]MENGENLS1 27-07-2000'!$AD$7:$AE$38,2,0))</f>
        <v>-130371</v>
      </c>
      <c r="H3" s="109">
        <f>IF(ISNA(VLOOKUP($B3,'[2]MENGENLS1 27-07-2000'!$AG$7:$AH$20,2,0)),0,VLOOKUP($B3,'[2]MENGENLS1 27-07-2000'!$AG$7:$AH$20,2,0))</f>
        <v>452</v>
      </c>
      <c r="I3" s="109">
        <f>IF(ISNA(VLOOKUP($B3,'[2]MENGENLS1 27-07-2000'!$AJ$7:$AK$38,2,0)),0,VLOOKUP($B3,'[2]MENGENLS1 27-07-2000'!$AJ$7:$AK$38,2,0))</f>
        <v>33603</v>
      </c>
      <c r="J3" s="109">
        <f>IF(ISNA(VLOOKUP($B3,'[2]MENGENLS1 27-07-2000'!$AM$7:$AN$38,2,0)),0,VLOOKUP($B3,'[2]MENGENLS1 27-07-2000'!$AM$7:$AN$38,2,0))</f>
        <v>-44915</v>
      </c>
      <c r="K3" s="109">
        <f>IF(ISNA(VLOOKUP($B3,'[2]MENGENLS1 27-07-2000'!$AP$7:$AQ$12,2,0)),0,VLOOKUP($B3,'[2]MENGENLS1 27-07-2000'!$AP$7:$AQ$12,2,0))</f>
        <v>0</v>
      </c>
      <c r="L3" s="260">
        <f>IF(ISNA(VLOOKUP($B3,'[2]MENGENLS1 27-07-2000'!$AS$7:$AT$23,2,0)),0,VLOOKUP($B3,'[2]MENGENLS1 27-07-2000'!$AS$7:$AT$23,2,0))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36770</v>
      </c>
      <c r="C4" s="108">
        <f>IF(ISNA(VLOOKUP($B4,'[2]MENGENLS1 27-07-2000'!$R$7:$S$71,2,0)),0,VLOOKUP($B4,'[2]MENGENLS1 27-07-2000'!$R$7:$S$71,2,0))</f>
        <v>65913</v>
      </c>
      <c r="D4" s="109">
        <f>IF(ISNA(VLOOKUP($B4,'[2]MENGENLS1 27-07-2000'!$U$7:$V$60,2,0)),0,VLOOKUP($B4,'[2]MENGENLS1 27-07-2000'!$U$7:$V$60,2,0))</f>
        <v>-148630</v>
      </c>
      <c r="E4" s="109">
        <f>IF(ISNA(VLOOKUP($B4,'[2]MENGENLS1 27-07-2000'!$X$7:$Y$27,2,0)),0,VLOOKUP($B4,'[2]MENGENLS1 27-07-2000'!$X$7:$Y$27,2,0))</f>
        <v>1157</v>
      </c>
      <c r="F4" s="109">
        <f>IF(ISNA(VLOOKUP($B4,'[2]MENGENLS1 27-07-2000'!$AA$7:$AB$35,2,0)),0,VLOOKUP($B4,'[2]MENGENLS1 27-07-2000'!$AA$7:$AB$35,2,0))</f>
        <v>4375</v>
      </c>
      <c r="G4" s="109">
        <f>IF(ISNA(VLOOKUP($B4,'[2]MENGENLS1 27-07-2000'!$AD$7:$AE$38,2,0)),0,VLOOKUP($B4,'[2]MENGENLS1 27-07-2000'!$AD$7:$AE$38,2,0))</f>
        <v>-928737</v>
      </c>
      <c r="H4" s="109">
        <f>IF(ISNA(VLOOKUP($B4,'[2]MENGENLS1 27-07-2000'!$AG$7:$AH$20,2,0)),0,VLOOKUP($B4,'[2]MENGENLS1 27-07-2000'!$AG$7:$AH$20,2,0))</f>
        <v>887</v>
      </c>
      <c r="I4" s="109">
        <f>IF(ISNA(VLOOKUP($B4,'[2]MENGENLS1 27-07-2000'!$AJ$7:$AK$38,2,0)),0,VLOOKUP($B4,'[2]MENGENLS1 27-07-2000'!$AJ$7:$AK$38,2,0))</f>
        <v>-56399</v>
      </c>
      <c r="J4" s="109">
        <f>IF(ISNA(VLOOKUP($B4,'[2]MENGENLS1 27-07-2000'!$AM$7:$AN$38,2,0)),0,VLOOKUP($B4,'[2]MENGENLS1 27-07-2000'!$AM$7:$AN$38,2,0))</f>
        <v>-2605</v>
      </c>
      <c r="K4" s="109">
        <f>IF(ISNA(VLOOKUP($B4,'[2]MENGENLS1 27-07-2000'!$AP$7:$AQ$12,2,0)),0,VLOOKUP($B4,'[2]MENGENLS1 27-07-2000'!$AP$7:$AQ$12,2,0))</f>
        <v>-3280</v>
      </c>
      <c r="L4" s="260">
        <f>IF(ISNA(VLOOKUP($B4,'[2]MENGENLS1 27-07-2000'!$AS$7:$AT$23,2,0)),0,VLOOKUP($B4,'[2]MENGENLS1 27-07-2000'!$AS$7:$AT$23,2,0))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36800</v>
      </c>
      <c r="C5" s="108">
        <f>IF(ISNA(VLOOKUP($B5,'[2]MENGENLS1 27-07-2000'!$R$7:$S$71,2,0)),0,VLOOKUP($B5,'[2]MENGENLS1 27-07-2000'!$R$7:$S$71,2,0))</f>
        <v>46619</v>
      </c>
      <c r="D5" s="109">
        <f>IF(ISNA(VLOOKUP($B5,'[2]MENGENLS1 27-07-2000'!$U$7:$V$60,2,0)),0,VLOOKUP($B5,'[2]MENGENLS1 27-07-2000'!$U$7:$V$60,2,0))</f>
        <v>-138999</v>
      </c>
      <c r="E5" s="109">
        <f>IF(ISNA(VLOOKUP($B5,'[2]MENGENLS1 27-07-2000'!$X$7:$Y$27,2,0)),0,VLOOKUP($B5,'[2]MENGENLS1 27-07-2000'!$X$7:$Y$27,2,0))</f>
        <v>15051</v>
      </c>
      <c r="F5" s="109">
        <f>IF(ISNA(VLOOKUP($B5,'[2]MENGENLS1 27-07-2000'!$AA$7:$AB$35,2,0)),0,VLOOKUP($B5,'[2]MENGENLS1 27-07-2000'!$AA$7:$AB$35,2,0))</f>
        <v>271</v>
      </c>
      <c r="G5" s="109">
        <f>IF(ISNA(VLOOKUP($B5,'[2]MENGENLS1 27-07-2000'!$AD$7:$AE$38,2,0)),0,VLOOKUP($B5,'[2]MENGENLS1 27-07-2000'!$AD$7:$AE$38,2,0))</f>
        <v>406417</v>
      </c>
      <c r="H5" s="109">
        <f>IF(ISNA(VLOOKUP($B5,'[2]MENGENLS1 27-07-2000'!$AG$7:$AH$20,2,0)),0,VLOOKUP($B5,'[2]MENGENLS1 27-07-2000'!$AG$7:$AH$20,2,0))</f>
        <v>-697</v>
      </c>
      <c r="I5" s="109">
        <f>IF(ISNA(VLOOKUP($B5,'[2]MENGENLS1 27-07-2000'!$AJ$7:$AK$38,2,0)),0,VLOOKUP($B5,'[2]MENGENLS1 27-07-2000'!$AJ$7:$AK$38,2,0))</f>
        <v>874</v>
      </c>
      <c r="J5" s="109">
        <f>IF(ISNA(VLOOKUP($B5,'[2]MENGENLS1 27-07-2000'!$AM$7:$AN$38,2,0)),0,VLOOKUP($B5,'[2]MENGENLS1 27-07-2000'!$AM$7:$AN$38,2,0))</f>
        <v>-107288</v>
      </c>
      <c r="K5" s="109">
        <f>IF(ISNA(VLOOKUP($B5,'[2]MENGENLS1 27-07-2000'!$AP$7:$AQ$12,2,0)),0,VLOOKUP($B5,'[2]MENGENLS1 27-07-2000'!$AP$7:$AQ$12,2,0))</f>
        <v>0</v>
      </c>
      <c r="L5" s="260">
        <f>IF(ISNA(VLOOKUP($B5,'[2]MENGENLS1 27-07-2000'!$AS$7:$AT$23,2,0)),0,VLOOKUP($B5,'[2]MENGENLS1 27-07-2000'!$AS$7:$AT$23,2,0))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36831</v>
      </c>
      <c r="C6" s="108">
        <f>IF(ISNA(VLOOKUP($B6,'[2]MENGENLS1 27-07-2000'!$R$7:$S$71,2,0)),0,VLOOKUP($B6,'[2]MENGENLS1 27-07-2000'!$R$7:$S$71,2,0))</f>
        <v>-36669</v>
      </c>
      <c r="D6" s="109">
        <f>IF(ISNA(VLOOKUP($B6,'[2]MENGENLS1 27-07-2000'!$U$7:$V$60,2,0)),0,VLOOKUP($B6,'[2]MENGENLS1 27-07-2000'!$U$7:$V$60,2,0))</f>
        <v>2143</v>
      </c>
      <c r="E6" s="109">
        <f>IF(ISNA(VLOOKUP($B6,'[2]MENGENLS1 27-07-2000'!$X$7:$Y$27,2,0)),0,VLOOKUP($B6,'[2]MENGENLS1 27-07-2000'!$X$7:$Y$27,2,0))</f>
        <v>3098</v>
      </c>
      <c r="F6" s="109">
        <f>IF(ISNA(VLOOKUP($B6,'[2]MENGENLS1 27-07-2000'!$AA$7:$AB$35,2,0)),0,VLOOKUP($B6,'[2]MENGENLS1 27-07-2000'!$AA$7:$AB$35,2,0))</f>
        <v>-928</v>
      </c>
      <c r="G6" s="109">
        <f>IF(ISNA(VLOOKUP($B6,'[2]MENGENLS1 27-07-2000'!$AD$7:$AE$38,2,0)),0,VLOOKUP($B6,'[2]MENGENLS1 27-07-2000'!$AD$7:$AE$38,2,0))</f>
        <v>720273</v>
      </c>
      <c r="H6" s="109">
        <f>IF(ISNA(VLOOKUP($B6,'[2]MENGENLS1 27-07-2000'!$AG$7:$AH$20,2,0)),0,VLOOKUP($B6,'[2]MENGENLS1 27-07-2000'!$AG$7:$AH$20,2,0))</f>
        <v>-162</v>
      </c>
      <c r="I6" s="109">
        <f>IF(ISNA(VLOOKUP($B6,'[2]MENGENLS1 27-07-2000'!$AJ$7:$AK$38,2,0)),0,VLOOKUP($B6,'[2]MENGENLS1 27-07-2000'!$AJ$7:$AK$38,2,0))</f>
        <v>-8646</v>
      </c>
      <c r="J6" s="109">
        <f>IF(ISNA(VLOOKUP($B6,'[2]MENGENLS1 27-07-2000'!$AM$7:$AN$38,2,0)),0,VLOOKUP($B6,'[2]MENGENLS1 27-07-2000'!$AM$7:$AN$38,2,0))</f>
        <v>-8359</v>
      </c>
      <c r="K6" s="109">
        <f>IF(ISNA(VLOOKUP($B6,'[2]MENGENLS1 27-07-2000'!$AP$7:$AQ$12,2,0)),0,VLOOKUP($B6,'[2]MENGENLS1 27-07-2000'!$AP$7:$AQ$12,2,0))</f>
        <v>0</v>
      </c>
      <c r="L6" s="260">
        <f>IF(ISNA(VLOOKUP($B6,'[2]MENGENLS1 27-07-2000'!$AS$7:$AT$23,2,0)),0,VLOOKUP($B6,'[2]MENGENLS1 27-07-2000'!$AS$7:$AT$23,2,0))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36861</v>
      </c>
      <c r="C7" s="108">
        <f>IF(ISNA(VLOOKUP($B7,'[2]MENGENLS1 27-07-2000'!$R$7:$S$71,2,0)),0,VLOOKUP($B7,'[2]MENGENLS1 27-07-2000'!$R$7:$S$71,2,0))</f>
        <v>-70182</v>
      </c>
      <c r="D7" s="109">
        <f>IF(ISNA(VLOOKUP($B7,'[2]MENGENLS1 27-07-2000'!$U$7:$V$60,2,0)),0,VLOOKUP($B7,'[2]MENGENLS1 27-07-2000'!$U$7:$V$60,2,0))</f>
        <v>57149</v>
      </c>
      <c r="E7" s="109">
        <f>IF(ISNA(VLOOKUP($B7,'[2]MENGENLS1 27-07-2000'!$X$7:$Y$27,2,0)),0,VLOOKUP($B7,'[2]MENGENLS1 27-07-2000'!$X$7:$Y$27,2,0))</f>
        <v>-6597</v>
      </c>
      <c r="F7" s="109">
        <f>IF(ISNA(VLOOKUP($B7,'[2]MENGENLS1 27-07-2000'!$AA$7:$AB$35,2,0)),0,VLOOKUP($B7,'[2]MENGENLS1 27-07-2000'!$AA$7:$AB$35,2,0))</f>
        <v>1390</v>
      </c>
      <c r="G7" s="109">
        <f>IF(ISNA(VLOOKUP($B7,'[2]MENGENLS1 27-07-2000'!$AD$7:$AE$38,2,0)),0,VLOOKUP($B7,'[2]MENGENLS1 27-07-2000'!$AD$7:$AE$38,2,0))</f>
        <v>-1245584</v>
      </c>
      <c r="H7" s="109">
        <f>IF(ISNA(VLOOKUP($B7,'[2]MENGENLS1 27-07-2000'!$AG$7:$AH$20,2,0)),0,VLOOKUP($B7,'[2]MENGENLS1 27-07-2000'!$AG$7:$AH$20,2,0))</f>
        <v>-301</v>
      </c>
      <c r="I7" s="109">
        <f>IF(ISNA(VLOOKUP($B7,'[2]MENGENLS1 27-07-2000'!$AJ$7:$AK$38,2,0)),0,VLOOKUP($B7,'[2]MENGENLS1 27-07-2000'!$AJ$7:$AK$38,2,0))</f>
        <v>-5422</v>
      </c>
      <c r="J7" s="109">
        <f>IF(ISNA(VLOOKUP($B7,'[2]MENGENLS1 27-07-2000'!$AM$7:$AN$38,2,0)),0,VLOOKUP($B7,'[2]MENGENLS1 27-07-2000'!$AM$7:$AN$38,2,0))</f>
        <v>42986</v>
      </c>
      <c r="K7" s="109">
        <f>IF(ISNA(VLOOKUP($B7,'[2]MENGENLS1 27-07-2000'!$AP$7:$AQ$12,2,0)),0,VLOOKUP($B7,'[2]MENGENLS1 27-07-2000'!$AP$7:$AQ$12,2,0))</f>
        <v>-22250</v>
      </c>
      <c r="L7" s="260">
        <f>IF(ISNA(VLOOKUP($B7,'[2]MENGENLS1 27-07-2000'!$AS$7:$AT$23,2,0)),0,VLOOKUP($B7,'[2]MENGENLS1 27-07-2000'!$AS$7:$AT$23,2,0))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36892</v>
      </c>
      <c r="C8" s="108">
        <f>IF(ISNA(VLOOKUP($B8,'[2]MENGENLS1 27-07-2000'!$R$7:$S$71,2,0)),0,VLOOKUP($B8,'[2]MENGENLS1 27-07-2000'!$R$7:$S$71,2,0))</f>
        <v>9756</v>
      </c>
      <c r="D8" s="109">
        <f>IF(ISNA(VLOOKUP($B8,'[2]MENGENLS1 27-07-2000'!$U$7:$V$60,2,0)),0,VLOOKUP($B8,'[2]MENGENLS1 27-07-2000'!$U$7:$V$60,2,0))</f>
        <v>12286</v>
      </c>
      <c r="E8" s="109">
        <f>IF(ISNA(VLOOKUP($B8,'[2]MENGENLS1 27-07-2000'!$X$7:$Y$27,2,0)),0,VLOOKUP($B8,'[2]MENGENLS1 27-07-2000'!$X$7:$Y$27,2,0))</f>
        <v>-19016</v>
      </c>
      <c r="F8" s="109">
        <f>IF(ISNA(VLOOKUP($B8,'[2]MENGENLS1 27-07-2000'!$AA$7:$AB$35,2,0)),0,VLOOKUP($B8,'[2]MENGENLS1 27-07-2000'!$AA$7:$AB$35,2,0))</f>
        <v>609</v>
      </c>
      <c r="G8" s="109">
        <f>IF(ISNA(VLOOKUP($B8,'[2]MENGENLS1 27-07-2000'!$AD$7:$AE$38,2,0)),0,VLOOKUP($B8,'[2]MENGENLS1 27-07-2000'!$AD$7:$AE$38,2,0))</f>
        <v>153681</v>
      </c>
      <c r="H8" s="109">
        <f>IF(ISNA(VLOOKUP($B8,'[2]MENGENLS1 27-07-2000'!$AG$7:$AH$20,2,0)),0,VLOOKUP($B8,'[2]MENGENLS1 27-07-2000'!$AG$7:$AH$20,2,0))</f>
        <v>-32</v>
      </c>
      <c r="I8" s="109">
        <f>IF(ISNA(VLOOKUP($B8,'[2]MENGENLS1 27-07-2000'!$AJ$7:$AK$38,2,0)),0,VLOOKUP($B8,'[2]MENGENLS1 27-07-2000'!$AJ$7:$AK$38,2,0))</f>
        <v>-320</v>
      </c>
      <c r="J8" s="109">
        <f>IF(ISNA(VLOOKUP($B8,'[2]MENGENLS1 27-07-2000'!$AM$7:$AN$38,2,0)),0,VLOOKUP($B8,'[2]MENGENLS1 27-07-2000'!$AM$7:$AN$38,2,0))</f>
        <v>33855</v>
      </c>
      <c r="K8" s="109">
        <f>IF(ISNA(VLOOKUP($B8,'[2]MENGENLS1 27-07-2000'!$AP$7:$AQ$12,2,0)),0,VLOOKUP($B8,'[2]MENGENLS1 27-07-2000'!$AP$7:$AQ$12,2,0))</f>
        <v>0</v>
      </c>
      <c r="L8" s="260">
        <f>IF(ISNA(VLOOKUP($B8,'[2]MENGENLS1 27-07-2000'!$AS$7:$AT$23,2,0)),0,VLOOKUP($B8,'[2]MENGENLS1 27-07-2000'!$AS$7:$AT$23,2,0))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36923</v>
      </c>
      <c r="C9" s="108">
        <f>IF(ISNA(VLOOKUP($B9,'[2]MENGENLS1 27-07-2000'!$R$7:$S$71,2,0)),0,VLOOKUP($B9,'[2]MENGENLS1 27-07-2000'!$R$7:$S$71,2,0))</f>
        <v>-10960</v>
      </c>
      <c r="D9" s="109">
        <f>IF(ISNA(VLOOKUP($B9,'[2]MENGENLS1 27-07-2000'!$U$7:$V$60,2,0)),0,VLOOKUP($B9,'[2]MENGENLS1 27-07-2000'!$U$7:$V$60,2,0))</f>
        <v>-1101</v>
      </c>
      <c r="E9" s="109">
        <f>IF(ISNA(VLOOKUP($B9,'[2]MENGENLS1 27-07-2000'!$X$7:$Y$27,2,0)),0,VLOOKUP($B9,'[2]MENGENLS1 27-07-2000'!$X$7:$Y$27,2,0))</f>
        <v>-7677</v>
      </c>
      <c r="F9" s="109">
        <f>IF(ISNA(VLOOKUP($B9,'[2]MENGENLS1 27-07-2000'!$AA$7:$AB$35,2,0)),0,VLOOKUP($B9,'[2]MENGENLS1 27-07-2000'!$AA$7:$AB$35,2,0))</f>
        <v>87</v>
      </c>
      <c r="G9" s="109">
        <f>IF(ISNA(VLOOKUP($B9,'[2]MENGENLS1 27-07-2000'!$AD$7:$AE$38,2,0)),0,VLOOKUP($B9,'[2]MENGENLS1 27-07-2000'!$AD$7:$AE$38,2,0))</f>
        <v>-38742</v>
      </c>
      <c r="H9" s="109">
        <f>IF(ISNA(VLOOKUP($B9,'[2]MENGENLS1 27-07-2000'!$AG$7:$AH$20,2,0)),0,VLOOKUP($B9,'[2]MENGENLS1 27-07-2000'!$AG$7:$AH$20,2,0))</f>
        <v>-29</v>
      </c>
      <c r="I9" s="109">
        <f>IF(ISNA(VLOOKUP($B9,'[2]MENGENLS1 27-07-2000'!$AJ$7:$AK$38,2,0)),0,VLOOKUP($B9,'[2]MENGENLS1 27-07-2000'!$AJ$7:$AK$38,2,0))</f>
        <v>-294</v>
      </c>
      <c r="J9" s="109">
        <f>IF(ISNA(VLOOKUP($B9,'[2]MENGENLS1 27-07-2000'!$AM$7:$AN$38,2,0)),0,VLOOKUP($B9,'[2]MENGENLS1 27-07-2000'!$AM$7:$AN$38,2,0))</f>
        <v>6558</v>
      </c>
      <c r="K9" s="109">
        <f>IF(ISNA(VLOOKUP($B9,'[2]MENGENLS1 27-07-2000'!$AP$7:$AQ$12,2,0)),0,VLOOKUP($B9,'[2]MENGENLS1 27-07-2000'!$AP$7:$AQ$12,2,0))</f>
        <v>0</v>
      </c>
      <c r="L9" s="260">
        <f>IF(ISNA(VLOOKUP($B9,'[2]MENGENLS1 27-07-2000'!$AS$7:$AT$23,2,0)),0,VLOOKUP($B9,'[2]MENGENLS1 27-07-2000'!$AS$7:$AT$23,2,0))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36951</v>
      </c>
      <c r="C10" s="108">
        <f>IF(ISNA(VLOOKUP($B10,'[2]MENGENLS1 27-07-2000'!$R$7:$S$71,2,0)),0,VLOOKUP($B10,'[2]MENGENLS1 27-07-2000'!$R$7:$S$71,2,0))</f>
        <v>-12675</v>
      </c>
      <c r="D10" s="109">
        <f>IF(ISNA(VLOOKUP($B10,'[2]MENGENLS1 27-07-2000'!$U$7:$V$60,2,0)),0,VLOOKUP($B10,'[2]MENGENLS1 27-07-2000'!$U$7:$V$60,2,0))</f>
        <v>-39810</v>
      </c>
      <c r="E10" s="109">
        <f>IF(ISNA(VLOOKUP($B10,'[2]MENGENLS1 27-07-2000'!$X$7:$Y$27,2,0)),0,VLOOKUP($B10,'[2]MENGENLS1 27-07-2000'!$X$7:$Y$27,2,0))</f>
        <v>-11136</v>
      </c>
      <c r="F10" s="109">
        <f>IF(ISNA(VLOOKUP($B10,'[2]MENGENLS1 27-07-2000'!$AA$7:$AB$35,2,0)),0,VLOOKUP($B10,'[2]MENGENLS1 27-07-2000'!$AA$7:$AB$35,2,0))</f>
        <v>553</v>
      </c>
      <c r="G10" s="109">
        <f>IF(ISNA(VLOOKUP($B10,'[2]MENGENLS1 27-07-2000'!$AD$7:$AE$38,2,0)),0,VLOOKUP($B10,'[2]MENGENLS1 27-07-2000'!$AD$7:$AE$38,2,0))</f>
        <v>185285</v>
      </c>
      <c r="H10" s="109">
        <f>IF(ISNA(VLOOKUP($B10,'[2]MENGENLS1 27-07-2000'!$AG$7:$AH$20,2,0)),0,VLOOKUP($B10,'[2]MENGENLS1 27-07-2000'!$AG$7:$AH$20,2,0))</f>
        <v>-102</v>
      </c>
      <c r="I10" s="109">
        <f>IF(ISNA(VLOOKUP($B10,'[2]MENGENLS1 27-07-2000'!$AJ$7:$AK$38,2,0)),0,VLOOKUP($B10,'[2]MENGENLS1 27-07-2000'!$AJ$7:$AK$38,2,0))</f>
        <v>-4509</v>
      </c>
      <c r="J10" s="109">
        <f>IF(ISNA(VLOOKUP($B10,'[2]MENGENLS1 27-07-2000'!$AM$7:$AN$38,2,0)),0,VLOOKUP($B10,'[2]MENGENLS1 27-07-2000'!$AM$7:$AN$38,2,0))</f>
        <v>17651</v>
      </c>
      <c r="K10" s="109">
        <f>IF(ISNA(VLOOKUP($B10,'[2]MENGENLS1 27-07-2000'!$AP$7:$AQ$12,2,0)),0,VLOOKUP($B10,'[2]MENGENLS1 27-07-2000'!$AP$7:$AQ$12,2,0))</f>
        <v>-43310</v>
      </c>
      <c r="L10" s="260">
        <f>IF(ISNA(VLOOKUP($B10,'[2]MENGENLS1 27-07-2000'!$AS$7:$AT$23,2,0)),0,VLOOKUP($B10,'[2]MENGENLS1 27-07-2000'!$AS$7:$AT$23,2,0))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36982</v>
      </c>
      <c r="C11" s="108">
        <f>IF(ISNA(VLOOKUP($B11,'[2]MENGENLS1 27-07-2000'!$R$7:$S$71,2,0)),0,VLOOKUP($B11,'[2]MENGENLS1 27-07-2000'!$R$7:$S$71,2,0))</f>
        <v>-10604</v>
      </c>
      <c r="D11" s="109">
        <f>IF(ISNA(VLOOKUP($B11,'[2]MENGENLS1 27-07-2000'!$U$7:$V$60,2,0)),0,VLOOKUP($B11,'[2]MENGENLS1 27-07-2000'!$U$7:$V$60,2,0))</f>
        <v>-32512</v>
      </c>
      <c r="E11" s="109">
        <f>IF(ISNA(VLOOKUP($B11,'[2]MENGENLS1 27-07-2000'!$X$7:$Y$27,2,0)),0,VLOOKUP($B11,'[2]MENGENLS1 27-07-2000'!$X$7:$Y$27,2,0))</f>
        <v>-1808</v>
      </c>
      <c r="F11" s="109">
        <f>IF(ISNA(VLOOKUP($B11,'[2]MENGENLS1 27-07-2000'!$AA$7:$AB$35,2,0)),0,VLOOKUP($B11,'[2]MENGENLS1 27-07-2000'!$AA$7:$AB$35,2,0))</f>
        <v>649</v>
      </c>
      <c r="G11" s="109">
        <f>IF(ISNA(VLOOKUP($B11,'[2]MENGENLS1 27-07-2000'!$AD$7:$AE$38,2,0)),0,VLOOKUP($B11,'[2]MENGENLS1 27-07-2000'!$AD$7:$AE$38,2,0))</f>
        <v>14049</v>
      </c>
      <c r="H11" s="109">
        <f>IF(ISNA(VLOOKUP($B11,'[2]MENGENLS1 27-07-2000'!$AG$7:$AH$20,2,0)),0,VLOOKUP($B11,'[2]MENGENLS1 27-07-2000'!$AG$7:$AH$20,2,0))</f>
        <v>-6</v>
      </c>
      <c r="I11" s="109">
        <f>IF(ISNA(VLOOKUP($B11,'[2]MENGENLS1 27-07-2000'!$AJ$7:$AK$38,2,0)),0,VLOOKUP($B11,'[2]MENGENLS1 27-07-2000'!$AJ$7:$AK$38,2,0))</f>
        <v>-1628</v>
      </c>
      <c r="J11" s="109">
        <f>IF(ISNA(VLOOKUP($B11,'[2]MENGENLS1 27-07-2000'!$AM$7:$AN$38,2,0)),0,VLOOKUP($B11,'[2]MENGENLS1 27-07-2000'!$AM$7:$AN$38,2,0))</f>
        <v>22827</v>
      </c>
      <c r="K11" s="109">
        <f>IF(ISNA(VLOOKUP($B11,'[2]MENGENLS1 27-07-2000'!$AP$7:$AQ$12,2,0)),0,VLOOKUP($B11,'[2]MENGENLS1 27-07-2000'!$AP$7:$AQ$12,2,0))</f>
        <v>0</v>
      </c>
      <c r="L11" s="260">
        <f>IF(ISNA(VLOOKUP($B11,'[2]MENGENLS1 27-07-2000'!$AS$7:$AT$23,2,0)),0,VLOOKUP($B11,'[2]MENGENLS1 27-07-2000'!$AS$7:$AT$23,2,0))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37012</v>
      </c>
      <c r="C12" s="108">
        <f>IF(ISNA(VLOOKUP($B12,'[2]MENGENLS1 27-07-2000'!$R$7:$S$71,2,0)),0,VLOOKUP($B12,'[2]MENGENLS1 27-07-2000'!$R$7:$S$71,2,0))</f>
        <v>-2311</v>
      </c>
      <c r="D12" s="109">
        <f>IF(ISNA(VLOOKUP($B12,'[2]MENGENLS1 27-07-2000'!$U$7:$V$60,2,0)),0,VLOOKUP($B12,'[2]MENGENLS1 27-07-2000'!$U$7:$V$60,2,0))</f>
        <v>7252</v>
      </c>
      <c r="E12" s="109">
        <f>IF(ISNA(VLOOKUP($B12,'[2]MENGENLS1 27-07-2000'!$X$7:$Y$27,2,0)),0,VLOOKUP($B12,'[2]MENGENLS1 27-07-2000'!$X$7:$Y$27,2,0))</f>
        <v>-6879</v>
      </c>
      <c r="F12" s="109">
        <f>IF(ISNA(VLOOKUP($B12,'[2]MENGENLS1 27-07-2000'!$AA$7:$AB$35,2,0)),0,VLOOKUP($B12,'[2]MENGENLS1 27-07-2000'!$AA$7:$AB$35,2,0))</f>
        <v>1</v>
      </c>
      <c r="G12" s="109">
        <f>IF(ISNA(VLOOKUP($B12,'[2]MENGENLS1 27-07-2000'!$AD$7:$AE$38,2,0)),0,VLOOKUP($B12,'[2]MENGENLS1 27-07-2000'!$AD$7:$AE$38,2,0))</f>
        <v>-37616</v>
      </c>
      <c r="H12" s="109">
        <f>IF(ISNA(VLOOKUP($B12,'[2]MENGENLS1 27-07-2000'!$AG$7:$AH$20,2,0)),0,VLOOKUP($B12,'[2]MENGENLS1 27-07-2000'!$AG$7:$AH$20,2,0))</f>
        <v>46</v>
      </c>
      <c r="I12" s="109">
        <f>IF(ISNA(VLOOKUP($B12,'[2]MENGENLS1 27-07-2000'!$AJ$7:$AK$38,2,0)),0,VLOOKUP($B12,'[2]MENGENLS1 27-07-2000'!$AJ$7:$AK$38,2,0))</f>
        <v>-4120</v>
      </c>
      <c r="J12" s="109">
        <f>IF(ISNA(VLOOKUP($B12,'[2]MENGENLS1 27-07-2000'!$AM$7:$AN$38,2,0)),0,VLOOKUP($B12,'[2]MENGENLS1 27-07-2000'!$AM$7:$AN$38,2,0))</f>
        <v>-23470</v>
      </c>
      <c r="K12" s="109">
        <f>IF(ISNA(VLOOKUP($B12,'[2]MENGENLS1 27-07-2000'!$AP$7:$AQ$12,2,0)),0,VLOOKUP($B12,'[2]MENGENLS1 27-07-2000'!$AP$7:$AQ$12,2,0))</f>
        <v>18860</v>
      </c>
      <c r="L12" s="260">
        <f>IF(ISNA(VLOOKUP($B12,'[2]MENGENLS1 27-07-2000'!$AS$7:$AT$23,2,0)),0,VLOOKUP($B12,'[2]MENGENLS1 27-07-2000'!$AS$7:$AT$23,2,0))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37043</v>
      </c>
      <c r="C13" s="108">
        <f>IF(ISNA(VLOOKUP($B13,'[2]MENGENLS1 27-07-2000'!$R$7:$S$71,2,0)),0,VLOOKUP($B13,'[2]MENGENLS1 27-07-2000'!$R$7:$S$71,2,0))</f>
        <v>-6235</v>
      </c>
      <c r="D13" s="109">
        <f>IF(ISNA(VLOOKUP($B13,'[2]MENGENLS1 27-07-2000'!$U$7:$V$60,2,0)),0,VLOOKUP($B13,'[2]MENGENLS1 27-07-2000'!$U$7:$V$60,2,0))</f>
        <v>1234</v>
      </c>
      <c r="E13" s="109">
        <f>IF(ISNA(VLOOKUP($B13,'[2]MENGENLS1 27-07-2000'!$X$7:$Y$27,2,0)),0,VLOOKUP($B13,'[2]MENGENLS1 27-07-2000'!$X$7:$Y$27,2,0))</f>
        <v>-9697</v>
      </c>
      <c r="F13" s="109">
        <f>IF(ISNA(VLOOKUP($B13,'[2]MENGENLS1 27-07-2000'!$AA$7:$AB$35,2,0)),0,VLOOKUP($B13,'[2]MENGENLS1 27-07-2000'!$AA$7:$AB$35,2,0))</f>
        <v>2074</v>
      </c>
      <c r="G13" s="109">
        <f>IF(ISNA(VLOOKUP($B13,'[2]MENGENLS1 27-07-2000'!$AD$7:$AE$38,2,0)),0,VLOOKUP($B13,'[2]MENGENLS1 27-07-2000'!$AD$7:$AE$38,2,0))</f>
        <v>-3794</v>
      </c>
      <c r="H13" s="109">
        <f>IF(ISNA(VLOOKUP($B13,'[2]MENGENLS1 27-07-2000'!$AG$7:$AH$20,2,0)),0,VLOOKUP($B13,'[2]MENGENLS1 27-07-2000'!$AG$7:$AH$20,2,0))</f>
        <v>-154</v>
      </c>
      <c r="I13" s="109">
        <f>IF(ISNA(VLOOKUP($B13,'[2]MENGENLS1 27-07-2000'!$AJ$7:$AK$38,2,0)),0,VLOOKUP($B13,'[2]MENGENLS1 27-07-2000'!$AJ$7:$AK$38,2,0))</f>
        <v>1333</v>
      </c>
      <c r="J13" s="109">
        <f>IF(ISNA(VLOOKUP($B13,'[2]MENGENLS1 27-07-2000'!$AM$7:$AN$38,2,0)),0,VLOOKUP($B13,'[2]MENGENLS1 27-07-2000'!$AM$7:$AN$38,2,0))</f>
        <v>24724</v>
      </c>
      <c r="K13" s="109">
        <f>IF(ISNA(VLOOKUP($B13,'[2]MENGENLS1 27-07-2000'!$AP$7:$AQ$12,2,0)),0,VLOOKUP($B13,'[2]MENGENLS1 27-07-2000'!$AP$7:$AQ$12,2,0))</f>
        <v>0</v>
      </c>
      <c r="L13" s="260">
        <f>IF(ISNA(VLOOKUP($B13,'[2]MENGENLS1 27-07-2000'!$AS$7:$AT$23,2,0)),0,VLOOKUP($B13,'[2]MENGENLS1 27-07-2000'!$AS$7:$AT$23,2,0))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37073</v>
      </c>
      <c r="C14" s="108">
        <f>IF(ISNA(VLOOKUP($B14,'[2]MENGENLS1 27-07-2000'!$R$7:$S$71,2,0)),0,VLOOKUP($B14,'[2]MENGENLS1 27-07-2000'!$R$7:$S$71,2,0))</f>
        <v>-6868</v>
      </c>
      <c r="D14" s="109">
        <f>IF(ISNA(VLOOKUP($B14,'[2]MENGENLS1 27-07-2000'!$U$7:$V$60,2,0)),0,VLOOKUP($B14,'[2]MENGENLS1 27-07-2000'!$U$7:$V$60,2,0))</f>
        <v>1204</v>
      </c>
      <c r="E14" s="109">
        <f>IF(ISNA(VLOOKUP($B14,'[2]MENGENLS1 27-07-2000'!$X$7:$Y$27,2,0)),0,VLOOKUP($B14,'[2]MENGENLS1 27-07-2000'!$X$7:$Y$27,2,0))</f>
        <v>-25900</v>
      </c>
      <c r="F14" s="109">
        <f>IF(ISNA(VLOOKUP($B14,'[2]MENGENLS1 27-07-2000'!$AA$7:$AB$35,2,0)),0,VLOOKUP($B14,'[2]MENGENLS1 27-07-2000'!$AA$7:$AB$35,2,0))</f>
        <v>-947</v>
      </c>
      <c r="G14" s="109">
        <f>IF(ISNA(VLOOKUP($B14,'[2]MENGENLS1 27-07-2000'!$AD$7:$AE$38,2,0)),0,VLOOKUP($B14,'[2]MENGENLS1 27-07-2000'!$AD$7:$AE$38,2,0))</f>
        <v>9163</v>
      </c>
      <c r="H14" s="109">
        <f>IF(ISNA(VLOOKUP($B14,'[2]MENGENLS1 27-07-2000'!$AG$7:$AH$20,2,0)),0,VLOOKUP($B14,'[2]MENGENLS1 27-07-2000'!$AG$7:$AH$20,2,0))</f>
        <v>-50</v>
      </c>
      <c r="I14" s="109">
        <f>IF(ISNA(VLOOKUP($B14,'[2]MENGENLS1 27-07-2000'!$AJ$7:$AK$38,2,0)),0,VLOOKUP($B14,'[2]MENGENLS1 27-07-2000'!$AJ$7:$AK$38,2,0))</f>
        <v>-4476</v>
      </c>
      <c r="J14" s="109">
        <f>IF(ISNA(VLOOKUP($B14,'[2]MENGENLS1 27-07-2000'!$AM$7:$AN$38,2,0)),0,VLOOKUP($B14,'[2]MENGENLS1 27-07-2000'!$AM$7:$AN$38,2,0))</f>
        <v>611</v>
      </c>
      <c r="K14" s="109">
        <f>IF(ISNA(VLOOKUP($B14,'[2]MENGENLS1 27-07-2000'!$AP$7:$AQ$12,2,0)),0,VLOOKUP($B14,'[2]MENGENLS1 27-07-2000'!$AP$7:$AQ$12,2,0))</f>
        <v>0</v>
      </c>
      <c r="L14" s="260">
        <f>IF(ISNA(VLOOKUP($B14,'[2]MENGENLS1 27-07-2000'!$AS$7:$AT$23,2,0)),0,VLOOKUP($B14,'[2]MENGENLS1 27-07-2000'!$AS$7:$AT$23,2,0))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37104</v>
      </c>
      <c r="C15" s="108">
        <f>IF(ISNA(VLOOKUP($B15,'[2]MENGENLS1 27-07-2000'!$R$7:$S$71,2,0)),0,VLOOKUP($B15,'[2]MENGENLS1 27-07-2000'!$R$7:$S$71,2,0))</f>
        <v>436</v>
      </c>
      <c r="D15" s="109">
        <f>IF(ISNA(VLOOKUP($B15,'[2]MENGENLS1 27-07-2000'!$U$7:$V$60,2,0)),0,VLOOKUP($B15,'[2]MENGENLS1 27-07-2000'!$U$7:$V$60,2,0))</f>
        <v>-1856</v>
      </c>
      <c r="E15" s="109">
        <f>IF(ISNA(VLOOKUP($B15,'[2]MENGENLS1 27-07-2000'!$X$7:$Y$27,2,0)),0,VLOOKUP($B15,'[2]MENGENLS1 27-07-2000'!$X$7:$Y$27,2,0))</f>
        <v>-2975</v>
      </c>
      <c r="F15" s="109">
        <f>IF(ISNA(VLOOKUP($B15,'[2]MENGENLS1 27-07-2000'!$AA$7:$AB$35,2,0)),0,VLOOKUP($B15,'[2]MENGENLS1 27-07-2000'!$AA$7:$AB$35,2,0))</f>
        <v>-72</v>
      </c>
      <c r="G15" s="109">
        <f>IF(ISNA(VLOOKUP($B15,'[2]MENGENLS1 27-07-2000'!$AD$7:$AE$38,2,0)),0,VLOOKUP($B15,'[2]MENGENLS1 27-07-2000'!$AD$7:$AE$38,2,0))</f>
        <v>-1061</v>
      </c>
      <c r="H15" s="109">
        <f>IF(ISNA(VLOOKUP($B15,'[2]MENGENLS1 27-07-2000'!$AG$7:$AH$20,2,0)),0,VLOOKUP($B15,'[2]MENGENLS1 27-07-2000'!$AG$7:$AH$20,2,0))</f>
        <v>70</v>
      </c>
      <c r="I15" s="109">
        <f>IF(ISNA(VLOOKUP($B15,'[2]MENGENLS1 27-07-2000'!$AJ$7:$AK$38,2,0)),0,VLOOKUP($B15,'[2]MENGENLS1 27-07-2000'!$AJ$7:$AK$38,2,0))</f>
        <v>-7851</v>
      </c>
      <c r="J15" s="109">
        <f>IF(ISNA(VLOOKUP($B15,'[2]MENGENLS1 27-07-2000'!$AM$7:$AN$38,2,0)),0,VLOOKUP($B15,'[2]MENGENLS1 27-07-2000'!$AM$7:$AN$38,2,0))</f>
        <v>-6720</v>
      </c>
      <c r="K15" s="109">
        <f>IF(ISNA(VLOOKUP($B15,'[2]MENGENLS1 27-07-2000'!$AP$7:$AQ$12,2,0)),0,VLOOKUP($B15,'[2]MENGENLS1 27-07-2000'!$AP$7:$AQ$12,2,0))</f>
        <v>0</v>
      </c>
      <c r="L15" s="260">
        <f>IF(ISNA(VLOOKUP($B15,'[2]MENGENLS1 27-07-2000'!$AS$7:$AT$23,2,0)),0,VLOOKUP($B15,'[2]MENGENLS1 27-07-2000'!$AS$7:$AT$23,2,0))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37135</v>
      </c>
      <c r="C16" s="108">
        <f>IF(ISNA(VLOOKUP($B16,'[2]MENGENLS1 27-07-2000'!$R$7:$S$71,2,0)),0,VLOOKUP($B16,'[2]MENGENLS1 27-07-2000'!$R$7:$S$71,2,0))</f>
        <v>-1904</v>
      </c>
      <c r="D16" s="109">
        <f>IF(ISNA(VLOOKUP($B16,'[2]MENGENLS1 27-07-2000'!$U$7:$V$60,2,0)),0,VLOOKUP($B16,'[2]MENGENLS1 27-07-2000'!$U$7:$V$60,2,0))</f>
        <v>-6723</v>
      </c>
      <c r="E16" s="109">
        <f>IF(ISNA(VLOOKUP($B16,'[2]MENGENLS1 27-07-2000'!$X$7:$Y$27,2,0)),0,VLOOKUP($B16,'[2]MENGENLS1 27-07-2000'!$X$7:$Y$27,2,0))</f>
        <v>-1075</v>
      </c>
      <c r="F16" s="109">
        <f>IF(ISNA(VLOOKUP($B16,'[2]MENGENLS1 27-07-2000'!$AA$7:$AB$35,2,0)),0,VLOOKUP($B16,'[2]MENGENLS1 27-07-2000'!$AA$7:$AB$35,2,0))</f>
        <v>-342</v>
      </c>
      <c r="G16" s="109">
        <f>IF(ISNA(VLOOKUP($B16,'[2]MENGENLS1 27-07-2000'!$AD$7:$AE$38,2,0)),0,VLOOKUP($B16,'[2]MENGENLS1 27-07-2000'!$AD$7:$AE$38,2,0))</f>
        <v>9163</v>
      </c>
      <c r="H16" s="109">
        <f>IF(ISNA(VLOOKUP($B16,'[2]MENGENLS1 27-07-2000'!$AG$7:$AH$20,2,0)),0,VLOOKUP($B16,'[2]MENGENLS1 27-07-2000'!$AG$7:$AH$20,2,0))</f>
        <v>0</v>
      </c>
      <c r="I16" s="109">
        <f>IF(ISNA(VLOOKUP($B16,'[2]MENGENLS1 27-07-2000'!$AJ$7:$AK$38,2,0)),0,VLOOKUP($B16,'[2]MENGENLS1 27-07-2000'!$AJ$7:$AK$38,2,0))</f>
        <v>-1365</v>
      </c>
      <c r="J16" s="109">
        <f>IF(ISNA(VLOOKUP($B16,'[2]MENGENLS1 27-07-2000'!$AM$7:$AN$38,2,0)),0,VLOOKUP($B16,'[2]MENGENLS1 27-07-2000'!$AM$7:$AN$38,2,0))</f>
        <v>611</v>
      </c>
      <c r="K16" s="109">
        <f>IF(ISNA(VLOOKUP($B16,'[2]MENGENLS1 27-07-2000'!$AP$7:$AQ$12,2,0)),0,VLOOKUP($B16,'[2]MENGENLS1 27-07-2000'!$AP$7:$AQ$12,2,0))</f>
        <v>0</v>
      </c>
      <c r="L16" s="260">
        <f>IF(ISNA(VLOOKUP($B16,'[2]MENGENLS1 27-07-2000'!$AS$7:$AT$23,2,0)),0,VLOOKUP($B16,'[2]MENGENLS1 27-07-2000'!$AS$7:$AT$23,2,0))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37165</v>
      </c>
      <c r="C17" s="108">
        <f>IF(ISNA(VLOOKUP($B17,'[2]MENGENLS1 27-07-2000'!$R$7:$S$71,2,0)),0,VLOOKUP($B17,'[2]MENGENLS1 27-07-2000'!$R$7:$S$71,2,0))</f>
        <v>1973</v>
      </c>
      <c r="D17" s="109">
        <f>IF(ISNA(VLOOKUP($B17,'[2]MENGENLS1 27-07-2000'!$U$7:$V$60,2,0)),0,VLOOKUP($B17,'[2]MENGENLS1 27-07-2000'!$U$7:$V$60,2,0))</f>
        <v>-42</v>
      </c>
      <c r="E17" s="109">
        <f>IF(ISNA(VLOOKUP($B17,'[2]MENGENLS1 27-07-2000'!$X$7:$Y$27,2,0)),0,VLOOKUP($B17,'[2]MENGENLS1 27-07-2000'!$X$7:$Y$27,2,0))</f>
        <v>-200</v>
      </c>
      <c r="F17" s="109">
        <f>IF(ISNA(VLOOKUP($B17,'[2]MENGENLS1 27-07-2000'!$AA$7:$AB$35,2,0)),0,VLOOKUP($B17,'[2]MENGENLS1 27-07-2000'!$AA$7:$AB$35,2,0))</f>
        <v>-924</v>
      </c>
      <c r="G17" s="109">
        <f>IF(ISNA(VLOOKUP($B17,'[2]MENGENLS1 27-07-2000'!$AD$7:$AE$38,2,0)),0,VLOOKUP($B17,'[2]MENGENLS1 27-07-2000'!$AD$7:$AE$38,2,0))</f>
        <v>27971</v>
      </c>
      <c r="H17" s="109">
        <f>IF(ISNA(VLOOKUP($B17,'[2]MENGENLS1 27-07-2000'!$AG$7:$AH$20,2,0)),0,VLOOKUP($B17,'[2]MENGENLS1 27-07-2000'!$AG$7:$AH$20,2,0))</f>
        <v>0</v>
      </c>
      <c r="I17" s="109">
        <f>IF(ISNA(VLOOKUP($B17,'[2]MENGENLS1 27-07-2000'!$AJ$7:$AK$38,2,0)),0,VLOOKUP($B17,'[2]MENGENLS1 27-07-2000'!$AJ$7:$AK$38,2,0))</f>
        <v>-3510</v>
      </c>
      <c r="J17" s="109">
        <f>IF(ISNA(VLOOKUP($B17,'[2]MENGENLS1 27-07-2000'!$AM$7:$AN$38,2,0)),0,VLOOKUP($B17,'[2]MENGENLS1 27-07-2000'!$AM$7:$AN$38,2,0))</f>
        <v>7813</v>
      </c>
      <c r="K17" s="109">
        <f>IF(ISNA(VLOOKUP($B17,'[2]MENGENLS1 27-07-2000'!$AP$7:$AQ$12,2,0)),0,VLOOKUP($B17,'[2]MENGENLS1 27-07-2000'!$AP$7:$AQ$12,2,0))</f>
        <v>0</v>
      </c>
      <c r="L17" s="260">
        <f>IF(ISNA(VLOOKUP($B17,'[2]MENGENLS1 27-07-2000'!$AS$7:$AT$23,2,0)),0,VLOOKUP($B17,'[2]MENGENLS1 27-07-2000'!$AS$7:$AT$23,2,0))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37196</v>
      </c>
      <c r="C18" s="108">
        <f>IF(ISNA(VLOOKUP($B18,'[2]MENGENLS1 27-07-2000'!$R$7:$S$71,2,0)),0,VLOOKUP($B18,'[2]MENGENLS1 27-07-2000'!$R$7:$S$71,2,0))</f>
        <v>9229</v>
      </c>
      <c r="D18" s="109">
        <f>IF(ISNA(VLOOKUP($B18,'[2]MENGENLS1 27-07-2000'!$U$7:$V$60,2,0)),0,VLOOKUP($B18,'[2]MENGENLS1 27-07-2000'!$U$7:$V$60,2,0))</f>
        <v>-4887</v>
      </c>
      <c r="E18" s="109">
        <f>IF(ISNA(VLOOKUP($B18,'[2]MENGENLS1 27-07-2000'!$X$7:$Y$27,2,0)),0,VLOOKUP($B18,'[2]MENGENLS1 27-07-2000'!$X$7:$Y$27,2,0))</f>
        <v>925</v>
      </c>
      <c r="F18" s="109">
        <f>IF(ISNA(VLOOKUP($B18,'[2]MENGENLS1 27-07-2000'!$AA$7:$AB$35,2,0)),0,VLOOKUP($B18,'[2]MENGENLS1 27-07-2000'!$AA$7:$AB$35,2,0))</f>
        <v>-276</v>
      </c>
      <c r="G18" s="109">
        <f>IF(ISNA(VLOOKUP($B18,'[2]MENGENLS1 27-07-2000'!$AD$7:$AE$38,2,0)),0,VLOOKUP($B18,'[2]MENGENLS1 27-07-2000'!$AD$7:$AE$38,2,0))</f>
        <v>-18808</v>
      </c>
      <c r="H18" s="109">
        <f>IF(ISNA(VLOOKUP($B18,'[2]MENGENLS1 27-07-2000'!$AG$7:$AH$20,2,0)),0,VLOOKUP($B18,'[2]MENGENLS1 27-07-2000'!$AG$7:$AH$20,2,0))</f>
        <v>0</v>
      </c>
      <c r="I18" s="109">
        <f>IF(ISNA(VLOOKUP($B18,'[2]MENGENLS1 27-07-2000'!$AJ$7:$AK$38,2,0)),0,VLOOKUP($B18,'[2]MENGENLS1 27-07-2000'!$AJ$7:$AK$38,2,0))</f>
        <v>-4278</v>
      </c>
      <c r="J18" s="109">
        <f>IF(ISNA(VLOOKUP($B18,'[2]MENGENLS1 27-07-2000'!$AM$7:$AN$38,2,0)),0,VLOOKUP($B18,'[2]MENGENLS1 27-07-2000'!$AM$7:$AN$38,2,0))</f>
        <v>-7202</v>
      </c>
      <c r="K18" s="109">
        <f>IF(ISNA(VLOOKUP($B18,'[2]MENGENLS1 27-07-2000'!$AP$7:$AQ$12,2,0)),0,VLOOKUP($B18,'[2]MENGENLS1 27-07-2000'!$AP$7:$AQ$12,2,0))</f>
        <v>0</v>
      </c>
      <c r="L18" s="260">
        <f>IF(ISNA(VLOOKUP($B18,'[2]MENGENLS1 27-07-2000'!$AS$7:$AT$23,2,0)),0,VLOOKUP($B18,'[2]MENGENLS1 27-07-2000'!$AS$7:$AT$23,2,0))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37226</v>
      </c>
      <c r="C19" s="108">
        <f>IF(ISNA(VLOOKUP($B19,'[2]MENGENLS1 27-07-2000'!$R$7:$S$71,2,0)),0,VLOOKUP($B19,'[2]MENGENLS1 27-07-2000'!$R$7:$S$71,2,0))</f>
        <v>-26537</v>
      </c>
      <c r="D19" s="109">
        <f>IF(ISNA(VLOOKUP($B19,'[2]MENGENLS1 27-07-2000'!$U$7:$V$60,2,0)),0,VLOOKUP($B19,'[2]MENGENLS1 27-07-2000'!$U$7:$V$60,2,0))</f>
        <v>-110978</v>
      </c>
      <c r="E19" s="109">
        <f>IF(ISNA(VLOOKUP($B19,'[2]MENGENLS1 27-07-2000'!$X$7:$Y$27,2,0)),0,VLOOKUP($B19,'[2]MENGENLS1 27-07-2000'!$X$7:$Y$27,2,0))</f>
        <v>925</v>
      </c>
      <c r="F19" s="109">
        <f>IF(ISNA(VLOOKUP($B19,'[2]MENGENLS1 27-07-2000'!$AA$7:$AB$35,2,0)),0,VLOOKUP($B19,'[2]MENGENLS1 27-07-2000'!$AA$7:$AB$35,2,0))</f>
        <v>-10403</v>
      </c>
      <c r="G19" s="109">
        <f>IF(ISNA(VLOOKUP($B19,'[2]MENGENLS1 27-07-2000'!$AD$7:$AE$38,2,0)),0,VLOOKUP($B19,'[2]MENGENLS1 27-07-2000'!$AD$7:$AE$38,2,0))</f>
        <v>0</v>
      </c>
      <c r="H19" s="109">
        <f>IF(ISNA(VLOOKUP($B19,'[2]MENGENLS1 27-07-2000'!$AG$7:$AH$20,2,0)),0,VLOOKUP($B19,'[2]MENGENLS1 27-07-2000'!$AG$7:$AH$20,2,0))</f>
        <v>0</v>
      </c>
      <c r="I19" s="109">
        <f>IF(ISNA(VLOOKUP($B19,'[2]MENGENLS1 27-07-2000'!$AJ$7:$AK$38,2,0)),0,VLOOKUP($B19,'[2]MENGENLS1 27-07-2000'!$AJ$7:$AK$38,2,0))</f>
        <v>3841</v>
      </c>
      <c r="J19" s="109">
        <f>IF(ISNA(VLOOKUP($B19,'[2]MENGENLS1 27-07-2000'!$AM$7:$AN$38,2,0)),0,VLOOKUP($B19,'[2]MENGENLS1 27-07-2000'!$AM$7:$AN$38,2,0))</f>
        <v>0</v>
      </c>
      <c r="K19" s="109">
        <f>IF(ISNA(VLOOKUP($B19,'[2]MENGENLS1 27-07-2000'!$AP$7:$AQ$12,2,0)),0,VLOOKUP($B19,'[2]MENGENLS1 27-07-2000'!$AP$7:$AQ$12,2,0))</f>
        <v>0</v>
      </c>
      <c r="L19" s="260">
        <f>IF(ISNA(VLOOKUP($B19,'[2]MENGENLS1 27-07-2000'!$AS$7:$AT$23,2,0)),0,VLOOKUP($B19,'[2]MENGENLS1 27-07-2000'!$AS$7:$AT$23,2,0))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37257</v>
      </c>
      <c r="C20" s="108">
        <f>IF(ISNA(VLOOKUP($B20,'[2]MENGENLS1 27-07-2000'!$R$7:$S$71,2,0)),0,VLOOKUP($B20,'[2]MENGENLS1 27-07-2000'!$R$7:$S$71,2,0))</f>
        <v>38399</v>
      </c>
      <c r="D20" s="109">
        <f>IF(ISNA(VLOOKUP($B20,'[2]MENGENLS1 27-07-2000'!$U$7:$V$60,2,0)),0,VLOOKUP($B20,'[2]MENGENLS1 27-07-2000'!$U$7:$V$60,2,0))</f>
        <v>-890</v>
      </c>
      <c r="E20" s="109">
        <f>IF(ISNA(VLOOKUP($B20,'[2]MENGENLS1 27-07-2000'!$X$7:$Y$27,2,0)),0,VLOOKUP($B20,'[2]MENGENLS1 27-07-2000'!$X$7:$Y$27,2,0))</f>
        <v>675</v>
      </c>
      <c r="F20" s="109">
        <f>IF(ISNA(VLOOKUP($B20,'[2]MENGENLS1 27-07-2000'!$AA$7:$AB$35,2,0)),0,VLOOKUP($B20,'[2]MENGENLS1 27-07-2000'!$AA$7:$AB$35,2,0))</f>
        <v>-654</v>
      </c>
      <c r="G20" s="109">
        <f>IF(ISNA(VLOOKUP($B20,'[2]MENGENLS1 27-07-2000'!$AD$7:$AE$38,2,0)),0,VLOOKUP($B20,'[2]MENGENLS1 27-07-2000'!$AD$7:$AE$38,2,0))</f>
        <v>18808</v>
      </c>
      <c r="H20" s="109">
        <f>IF(ISNA(VLOOKUP($B20,'[2]MENGENLS1 27-07-2000'!$AG$7:$AH$20,2,0)),0,VLOOKUP($B20,'[2]MENGENLS1 27-07-2000'!$AG$7:$AH$20,2,0))</f>
        <v>0</v>
      </c>
      <c r="I20" s="109">
        <f>IF(ISNA(VLOOKUP($B20,'[2]MENGENLS1 27-07-2000'!$AJ$7:$AK$38,2,0)),0,VLOOKUP($B20,'[2]MENGENLS1 27-07-2000'!$AJ$7:$AK$38,2,0))</f>
        <v>4238</v>
      </c>
      <c r="J20" s="109">
        <f>IF(ISNA(VLOOKUP($B20,'[2]MENGENLS1 27-07-2000'!$AM$7:$AN$38,2,0)),0,VLOOKUP($B20,'[2]MENGENLS1 27-07-2000'!$AM$7:$AN$38,2,0))</f>
        <v>7202</v>
      </c>
      <c r="K20" s="109">
        <f>IF(ISNA(VLOOKUP($B20,'[2]MENGENLS1 27-07-2000'!$AP$7:$AQ$12,2,0)),0,VLOOKUP($B20,'[2]MENGENLS1 27-07-2000'!$AP$7:$AQ$12,2,0))</f>
        <v>0</v>
      </c>
      <c r="L20" s="260">
        <f>IF(ISNA(VLOOKUP($B20,'[2]MENGENLS1 27-07-2000'!$AS$7:$AT$23,2,0)),0,VLOOKUP($B20,'[2]MENGENLS1 27-07-2000'!$AS$7:$AT$23,2,0))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37288</v>
      </c>
      <c r="C21" s="108">
        <f>IF(ISNA(VLOOKUP($B21,'[2]MENGENLS1 27-07-2000'!$R$7:$S$71,2,0)),0,VLOOKUP($B21,'[2]MENGENLS1 27-07-2000'!$R$7:$S$71,2,0))</f>
        <v>15112</v>
      </c>
      <c r="D21" s="109">
        <f>IF(ISNA(VLOOKUP($B21,'[2]MENGENLS1 27-07-2000'!$U$7:$V$60,2,0)),0,VLOOKUP($B21,'[2]MENGENLS1 27-07-2000'!$U$7:$V$60,2,0))</f>
        <v>-186</v>
      </c>
      <c r="E21" s="109">
        <f>IF(ISNA(VLOOKUP($B21,'[2]MENGENLS1 27-07-2000'!$X$7:$Y$27,2,0)),0,VLOOKUP($B21,'[2]MENGENLS1 27-07-2000'!$X$7:$Y$27,2,0))</f>
        <v>900</v>
      </c>
      <c r="F21" s="109">
        <f>IF(ISNA(VLOOKUP($B21,'[2]MENGENLS1 27-07-2000'!$AA$7:$AB$35,2,0)),0,VLOOKUP($B21,'[2]MENGENLS1 27-07-2000'!$AA$7:$AB$35,2,0))</f>
        <v>-72</v>
      </c>
      <c r="G21" s="109">
        <f>IF(ISNA(VLOOKUP($B21,'[2]MENGENLS1 27-07-2000'!$AD$7:$AE$38,2,0)),0,VLOOKUP($B21,'[2]MENGENLS1 27-07-2000'!$AD$7:$AE$38,2,0))</f>
        <v>0</v>
      </c>
      <c r="H21" s="109">
        <f>IF(ISNA(VLOOKUP($B21,'[2]MENGENLS1 27-07-2000'!$AG$7:$AH$20,2,0)),0,VLOOKUP($B21,'[2]MENGENLS1 27-07-2000'!$AG$7:$AH$20,2,0))</f>
        <v>0</v>
      </c>
      <c r="I21" s="109">
        <f>IF(ISNA(VLOOKUP($B21,'[2]MENGENLS1 27-07-2000'!$AJ$7:$AK$38,2,0)),0,VLOOKUP($B21,'[2]MENGENLS1 27-07-2000'!$AJ$7:$AK$38,2,0))</f>
        <v>-786</v>
      </c>
      <c r="J21" s="109">
        <f>IF(ISNA(VLOOKUP($B21,'[2]MENGENLS1 27-07-2000'!$AM$7:$AN$38,2,0)),0,VLOOKUP($B21,'[2]MENGENLS1 27-07-2000'!$AM$7:$AN$38,2,0))</f>
        <v>0</v>
      </c>
      <c r="K21" s="109">
        <f>IF(ISNA(VLOOKUP($B21,'[2]MENGENLS1 27-07-2000'!$AP$7:$AQ$12,2,0)),0,VLOOKUP($B21,'[2]MENGENLS1 27-07-2000'!$AP$7:$AQ$12,2,0))</f>
        <v>0</v>
      </c>
      <c r="L21" s="260">
        <f>IF(ISNA(VLOOKUP($B21,'[2]MENGENLS1 27-07-2000'!$AS$7:$AT$23,2,0)),0,VLOOKUP($B21,'[2]MENGENLS1 27-07-2000'!$AS$7:$AT$23,2,0))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37316</v>
      </c>
      <c r="C22" s="108">
        <f>IF(ISNA(VLOOKUP($B22,'[2]MENGENLS1 27-07-2000'!$R$7:$S$71,2,0)),0,VLOOKUP($B22,'[2]MENGENLS1 27-07-2000'!$R$7:$S$71,2,0))</f>
        <v>21922</v>
      </c>
      <c r="D22" s="109">
        <f>IF(ISNA(VLOOKUP($B22,'[2]MENGENLS1 27-07-2000'!$U$7:$V$60,2,0)),0,VLOOKUP($B22,'[2]MENGENLS1 27-07-2000'!$U$7:$V$60,2,0))</f>
        <v>1045</v>
      </c>
      <c r="E22" s="109">
        <f>IF(ISNA(VLOOKUP($B22,'[2]MENGENLS1 27-07-2000'!$X$7:$Y$27,2,0)),0,VLOOKUP($B22,'[2]MENGENLS1 27-07-2000'!$X$7:$Y$27,2,0))</f>
        <v>1000</v>
      </c>
      <c r="F22" s="109">
        <f>IF(ISNA(VLOOKUP($B22,'[2]MENGENLS1 27-07-2000'!$AA$7:$AB$35,2,0)),0,VLOOKUP($B22,'[2]MENGENLS1 27-07-2000'!$AA$7:$AB$35,2,0))</f>
        <v>-234</v>
      </c>
      <c r="G22" s="109">
        <f>IF(ISNA(VLOOKUP($B22,'[2]MENGENLS1 27-07-2000'!$AD$7:$AE$38,2,0)),0,VLOOKUP($B22,'[2]MENGENLS1 27-07-2000'!$AD$7:$AE$38,2,0))</f>
        <v>0</v>
      </c>
      <c r="H22" s="109">
        <f>IF(ISNA(VLOOKUP($B22,'[2]MENGENLS1 27-07-2000'!$AG$7:$AH$20,2,0)),0,VLOOKUP($B22,'[2]MENGENLS1 27-07-2000'!$AG$7:$AH$20,2,0))</f>
        <v>0</v>
      </c>
      <c r="I22" s="109">
        <f>IF(ISNA(VLOOKUP($B22,'[2]MENGENLS1 27-07-2000'!$AJ$7:$AK$38,2,0)),0,VLOOKUP($B22,'[2]MENGENLS1 27-07-2000'!$AJ$7:$AK$38,2,0))</f>
        <v>2840</v>
      </c>
      <c r="J22" s="109">
        <f>IF(ISNA(VLOOKUP($B22,'[2]MENGENLS1 27-07-2000'!$AM$7:$AN$38,2,0)),0,VLOOKUP($B22,'[2]MENGENLS1 27-07-2000'!$AM$7:$AN$38,2,0))</f>
        <v>0</v>
      </c>
      <c r="K22" s="109">
        <f>IF(ISNA(VLOOKUP($B22,'[2]MENGENLS1 27-07-2000'!$AP$7:$AQ$12,2,0)),0,VLOOKUP($B22,'[2]MENGENLS1 27-07-2000'!$AP$7:$AQ$12,2,0))</f>
        <v>0</v>
      </c>
      <c r="L22" s="260">
        <f>IF(ISNA(VLOOKUP($B22,'[2]MENGENLS1 27-07-2000'!$AS$7:$AT$23,2,0)),0,VLOOKUP($B22,'[2]MENGENLS1 27-07-2000'!$AS$7:$AT$23,2,0))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37347</v>
      </c>
      <c r="C23" s="108">
        <f>IF(ISNA(VLOOKUP($B23,'[2]MENGENLS1 27-07-2000'!$R$7:$S$71,2,0)),0,VLOOKUP($B23,'[2]MENGENLS1 27-07-2000'!$R$7:$S$71,2,0))</f>
        <v>5284</v>
      </c>
      <c r="D23" s="109">
        <f>IF(ISNA(VLOOKUP($B23,'[2]MENGENLS1 27-07-2000'!$U$7:$V$60,2,0)),0,VLOOKUP($B23,'[2]MENGENLS1 27-07-2000'!$U$7:$V$60,2,0))</f>
        <v>13805</v>
      </c>
      <c r="E23" s="109">
        <f>IF(ISNA(VLOOKUP($B23,'[2]MENGENLS1 27-07-2000'!$X$7:$Y$27,2,0)),0,VLOOKUP($B23,'[2]MENGENLS1 27-07-2000'!$X$7:$Y$27,2,0))</f>
        <v>0</v>
      </c>
      <c r="F23" s="109">
        <f>IF(ISNA(VLOOKUP($B23,'[2]MENGENLS1 27-07-2000'!$AA$7:$AB$35,2,0)),0,VLOOKUP($B23,'[2]MENGENLS1 27-07-2000'!$AA$7:$AB$35,2,0))</f>
        <v>-150</v>
      </c>
      <c r="G23" s="109">
        <f>IF(ISNA(VLOOKUP($B23,'[2]MENGENLS1 27-07-2000'!$AD$7:$AE$38,2,0)),0,VLOOKUP($B23,'[2]MENGENLS1 27-07-2000'!$AD$7:$AE$38,2,0))</f>
        <v>0</v>
      </c>
      <c r="H23" s="109">
        <f>IF(ISNA(VLOOKUP($B23,'[2]MENGENLS1 27-07-2000'!$AG$7:$AH$20,2,0)),0,VLOOKUP($B23,'[2]MENGENLS1 27-07-2000'!$AG$7:$AH$20,2,0))</f>
        <v>0</v>
      </c>
      <c r="I23" s="109">
        <f>IF(ISNA(VLOOKUP($B23,'[2]MENGENLS1 27-07-2000'!$AJ$7:$AK$38,2,0)),0,VLOOKUP($B23,'[2]MENGENLS1 27-07-2000'!$AJ$7:$AK$38,2,0))</f>
        <v>-1110</v>
      </c>
      <c r="J23" s="109">
        <f>IF(ISNA(VLOOKUP($B23,'[2]MENGENLS1 27-07-2000'!$AM$7:$AN$38,2,0)),0,VLOOKUP($B23,'[2]MENGENLS1 27-07-2000'!$AM$7:$AN$38,2,0))</f>
        <v>0</v>
      </c>
      <c r="K23" s="109">
        <f>IF(ISNA(VLOOKUP($B23,'[2]MENGENLS1 27-07-2000'!$AP$7:$AQ$12,2,0)),0,VLOOKUP($B23,'[2]MENGENLS1 27-07-2000'!$AP$7:$AQ$12,2,0))</f>
        <v>0</v>
      </c>
      <c r="L23" s="260">
        <f>IF(ISNA(VLOOKUP($B23,'[2]MENGENLS1 27-07-2000'!$AS$7:$AT$23,2,0)),0,VLOOKUP($B23,'[2]MENGENLS1 27-07-2000'!$AS$7:$AT$23,2,0))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37377</v>
      </c>
      <c r="C24" s="108">
        <f>IF(ISNA(VLOOKUP($B24,'[2]MENGENLS1 27-07-2000'!$R$7:$S$71,2,0)),0,VLOOKUP($B24,'[2]MENGENLS1 27-07-2000'!$R$7:$S$71,2,0))</f>
        <v>4857</v>
      </c>
      <c r="D24" s="109">
        <f>IF(ISNA(VLOOKUP($B24,'[2]MENGENLS1 27-07-2000'!$U$7:$V$60,2,0)),0,VLOOKUP($B24,'[2]MENGENLS1 27-07-2000'!$U$7:$V$60,2,0))</f>
        <v>-1895</v>
      </c>
      <c r="E24" s="109">
        <f>IF(ISNA(VLOOKUP($B24,'[2]MENGENLS1 27-07-2000'!$X$7:$Y$27,2,0)),0,VLOOKUP($B24,'[2]MENGENLS1 27-07-2000'!$X$7:$Y$27,2,0))</f>
        <v>0</v>
      </c>
      <c r="F24" s="109">
        <f>IF(ISNA(VLOOKUP($B24,'[2]MENGENLS1 27-07-2000'!$AA$7:$AB$35,2,0)),0,VLOOKUP($B24,'[2]MENGENLS1 27-07-2000'!$AA$7:$AB$35,2,0))</f>
        <v>54</v>
      </c>
      <c r="G24" s="109">
        <f>IF(ISNA(VLOOKUP($B24,'[2]MENGENLS1 27-07-2000'!$AD$7:$AE$38,2,0)),0,VLOOKUP($B24,'[2]MENGENLS1 27-07-2000'!$AD$7:$AE$38,2,0))</f>
        <v>0</v>
      </c>
      <c r="H24" s="109">
        <f>IF(ISNA(VLOOKUP($B24,'[2]MENGENLS1 27-07-2000'!$AG$7:$AH$20,2,0)),0,VLOOKUP($B24,'[2]MENGENLS1 27-07-2000'!$AG$7:$AH$20,2,0))</f>
        <v>0</v>
      </c>
      <c r="I24" s="109">
        <f>IF(ISNA(VLOOKUP($B24,'[2]MENGENLS1 27-07-2000'!$AJ$7:$AK$38,2,0)),0,VLOOKUP($B24,'[2]MENGENLS1 27-07-2000'!$AJ$7:$AK$38,2,0))</f>
        <v>-1400</v>
      </c>
      <c r="J24" s="109">
        <f>IF(ISNA(VLOOKUP($B24,'[2]MENGENLS1 27-07-2000'!$AM$7:$AN$38,2,0)),0,VLOOKUP($B24,'[2]MENGENLS1 27-07-2000'!$AM$7:$AN$38,2,0))</f>
        <v>0</v>
      </c>
      <c r="K24" s="109">
        <f>IF(ISNA(VLOOKUP($B24,'[2]MENGENLS1 27-07-2000'!$AP$7:$AQ$12,2,0)),0,VLOOKUP($B24,'[2]MENGENLS1 27-07-2000'!$AP$7:$AQ$12,2,0))</f>
        <v>-20000</v>
      </c>
      <c r="L24" s="260">
        <f>IF(ISNA(VLOOKUP($B24,'[2]MENGENLS1 27-07-2000'!$AS$7:$AT$23,2,0)),0,VLOOKUP($B24,'[2]MENGENLS1 27-07-2000'!$AS$7:$AT$23,2,0))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37408</v>
      </c>
      <c r="C25" s="108">
        <f>IF(ISNA(VLOOKUP($B25,'[2]MENGENLS1 27-07-2000'!$R$7:$S$71,2,0)),0,VLOOKUP($B25,'[2]MENGENLS1 27-07-2000'!$R$7:$S$71,2,0))</f>
        <v>-27335</v>
      </c>
      <c r="D25" s="109">
        <f>IF(ISNA(VLOOKUP($B25,'[2]MENGENLS1 27-07-2000'!$U$7:$V$60,2,0)),0,VLOOKUP($B25,'[2]MENGENLS1 27-07-2000'!$U$7:$V$60,2,0))</f>
        <v>-1395</v>
      </c>
      <c r="E25" s="109">
        <f>IF(ISNA(VLOOKUP($B25,'[2]MENGENLS1 27-07-2000'!$X$7:$Y$27,2,0)),0,VLOOKUP($B25,'[2]MENGENLS1 27-07-2000'!$X$7:$Y$27,2,0))</f>
        <v>0</v>
      </c>
      <c r="F25" s="109">
        <f>IF(ISNA(VLOOKUP($B25,'[2]MENGENLS1 27-07-2000'!$AA$7:$AB$35,2,0)),0,VLOOKUP($B25,'[2]MENGENLS1 27-07-2000'!$AA$7:$AB$35,2,0))</f>
        <v>-78</v>
      </c>
      <c r="G25" s="109">
        <f>IF(ISNA(VLOOKUP($B25,'[2]MENGENLS1 27-07-2000'!$AD$7:$AE$38,2,0)),0,VLOOKUP($B25,'[2]MENGENLS1 27-07-2000'!$AD$7:$AE$38,2,0))</f>
        <v>0</v>
      </c>
      <c r="H25" s="109">
        <f>IF(ISNA(VLOOKUP($B25,'[2]MENGENLS1 27-07-2000'!$AG$7:$AH$20,2,0)),0,VLOOKUP($B25,'[2]MENGENLS1 27-07-2000'!$AG$7:$AH$20,2,0))</f>
        <v>0</v>
      </c>
      <c r="I25" s="109">
        <f>IF(ISNA(VLOOKUP($B25,'[2]MENGENLS1 27-07-2000'!$AJ$7:$AK$38,2,0)),0,VLOOKUP($B25,'[2]MENGENLS1 27-07-2000'!$AJ$7:$AK$38,2,0))</f>
        <v>355</v>
      </c>
      <c r="J25" s="109">
        <f>IF(ISNA(VLOOKUP($B25,'[2]MENGENLS1 27-07-2000'!$AM$7:$AN$38,2,0)),0,VLOOKUP($B25,'[2]MENGENLS1 27-07-2000'!$AM$7:$AN$38,2,0))</f>
        <v>0</v>
      </c>
      <c r="K25" s="109">
        <f>IF(ISNA(VLOOKUP($B25,'[2]MENGENLS1 27-07-2000'!$AP$7:$AQ$12,2,0)),0,VLOOKUP($B25,'[2]MENGENLS1 27-07-2000'!$AP$7:$AQ$12,2,0))</f>
        <v>0</v>
      </c>
      <c r="L25" s="260">
        <f>IF(ISNA(VLOOKUP($B25,'[2]MENGENLS1 27-07-2000'!$AS$7:$AT$23,2,0)),0,VLOOKUP($B25,'[2]MENGENLS1 27-07-2000'!$AS$7:$AT$23,2,0))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37438</v>
      </c>
      <c r="C26" s="108">
        <f>IF(ISNA(VLOOKUP($B26,'[2]MENGENLS1 27-07-2000'!$R$7:$S$71,2,0)),0,VLOOKUP($B26,'[2]MENGENLS1 27-07-2000'!$R$7:$S$71,2,0))</f>
        <v>2621</v>
      </c>
      <c r="D26" s="109">
        <f>IF(ISNA(VLOOKUP($B26,'[2]MENGENLS1 27-07-2000'!$U$7:$V$60,2,0)),0,VLOOKUP($B26,'[2]MENGENLS1 27-07-2000'!$U$7:$V$60,2,0))</f>
        <v>-1295</v>
      </c>
      <c r="E26" s="109">
        <f>IF(ISNA(VLOOKUP($B26,'[2]MENGENLS1 27-07-2000'!$X$7:$Y$27,2,0)),0,VLOOKUP($B26,'[2]MENGENLS1 27-07-2000'!$X$7:$Y$27,2,0))</f>
        <v>0</v>
      </c>
      <c r="F26" s="109">
        <f>IF(ISNA(VLOOKUP($B26,'[2]MENGENLS1 27-07-2000'!$AA$7:$AB$35,2,0)),0,VLOOKUP($B26,'[2]MENGENLS1 27-07-2000'!$AA$7:$AB$35,2,0))</f>
        <v>-186</v>
      </c>
      <c r="G26" s="109">
        <f>IF(ISNA(VLOOKUP($B26,'[2]MENGENLS1 27-07-2000'!$AD$7:$AE$38,2,0)),0,VLOOKUP($B26,'[2]MENGENLS1 27-07-2000'!$AD$7:$AE$38,2,0))</f>
        <v>0</v>
      </c>
      <c r="H26" s="109">
        <f>IF(ISNA(VLOOKUP($B26,'[2]MENGENLS1 27-07-2000'!$AG$7:$AH$20,2,0)),0,VLOOKUP($B26,'[2]MENGENLS1 27-07-2000'!$AG$7:$AH$20,2,0))</f>
        <v>0</v>
      </c>
      <c r="I26" s="109">
        <f>IF(ISNA(VLOOKUP($B26,'[2]MENGENLS1 27-07-2000'!$AJ$7:$AK$38,2,0)),0,VLOOKUP($B26,'[2]MENGENLS1 27-07-2000'!$AJ$7:$AK$38,2,0))</f>
        <v>-2040</v>
      </c>
      <c r="J26" s="109">
        <f>IF(ISNA(VLOOKUP($B26,'[2]MENGENLS1 27-07-2000'!$AM$7:$AN$38,2,0)),0,VLOOKUP($B26,'[2]MENGENLS1 27-07-2000'!$AM$7:$AN$38,2,0))</f>
        <v>0</v>
      </c>
      <c r="K26" s="109">
        <f>IF(ISNA(VLOOKUP($B26,'[2]MENGENLS1 27-07-2000'!$AP$7:$AQ$12,2,0)),0,VLOOKUP($B26,'[2]MENGENLS1 27-07-2000'!$AP$7:$AQ$12,2,0))</f>
        <v>0</v>
      </c>
      <c r="L26" s="260">
        <f>IF(ISNA(VLOOKUP($B26,'[2]MENGENLS1 27-07-2000'!$AS$7:$AT$23,2,0)),0,VLOOKUP($B26,'[2]MENGENLS1 27-07-2000'!$AS$7:$AT$23,2,0))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37469</v>
      </c>
      <c r="C27" s="108">
        <f>IF(ISNA(VLOOKUP($B27,'[2]MENGENLS1 27-07-2000'!$R$7:$S$71,2,0)),0,VLOOKUP($B27,'[2]MENGENLS1 27-07-2000'!$R$7:$S$71,2,0))</f>
        <v>-14376</v>
      </c>
      <c r="D27" s="109">
        <f>IF(ISNA(VLOOKUP($B27,'[2]MENGENLS1 27-07-2000'!$U$7:$V$60,2,0)),0,VLOOKUP($B27,'[2]MENGENLS1 27-07-2000'!$U$7:$V$60,2,0))</f>
        <v>-1086</v>
      </c>
      <c r="E27" s="109">
        <f>IF(ISNA(VLOOKUP($B27,'[2]MENGENLS1 27-07-2000'!$X$7:$Y$27,2,0)),0,VLOOKUP($B27,'[2]MENGENLS1 27-07-2000'!$X$7:$Y$27,2,0))</f>
        <v>0</v>
      </c>
      <c r="F27" s="109">
        <f>IF(ISNA(VLOOKUP($B27,'[2]MENGENLS1 27-07-2000'!$AA$7:$AB$35,2,0)),0,VLOOKUP($B27,'[2]MENGENLS1 27-07-2000'!$AA$7:$AB$35,2,0))</f>
        <v>-12</v>
      </c>
      <c r="G27" s="109">
        <f>IF(ISNA(VLOOKUP($B27,'[2]MENGENLS1 27-07-2000'!$AD$7:$AE$38,2,0)),0,VLOOKUP($B27,'[2]MENGENLS1 27-07-2000'!$AD$7:$AE$38,2,0))</f>
        <v>0</v>
      </c>
      <c r="H27" s="109">
        <f>IF(ISNA(VLOOKUP($B27,'[2]MENGENLS1 27-07-2000'!$AG$7:$AH$20,2,0)),0,VLOOKUP($B27,'[2]MENGENLS1 27-07-2000'!$AG$7:$AH$20,2,0))</f>
        <v>0</v>
      </c>
      <c r="I27" s="109">
        <f>IF(ISNA(VLOOKUP($B27,'[2]MENGENLS1 27-07-2000'!$AJ$7:$AK$38,2,0)),0,VLOOKUP($B27,'[2]MENGENLS1 27-07-2000'!$AJ$7:$AK$38,2,0))</f>
        <v>-386</v>
      </c>
      <c r="J27" s="109">
        <f>IF(ISNA(VLOOKUP($B27,'[2]MENGENLS1 27-07-2000'!$AM$7:$AN$38,2,0)),0,VLOOKUP($B27,'[2]MENGENLS1 27-07-2000'!$AM$7:$AN$38,2,0))</f>
        <v>0</v>
      </c>
      <c r="K27" s="109">
        <f>IF(ISNA(VLOOKUP($B27,'[2]MENGENLS1 27-07-2000'!$AP$7:$AQ$12,2,0)),0,VLOOKUP($B27,'[2]MENGENLS1 27-07-2000'!$AP$7:$AQ$12,2,0))</f>
        <v>0</v>
      </c>
      <c r="L27" s="260">
        <f>IF(ISNA(VLOOKUP($B27,'[2]MENGENLS1 27-07-2000'!$AS$7:$AT$23,2,0)),0,VLOOKUP($B27,'[2]MENGENLS1 27-07-2000'!$AS$7:$AT$23,2,0))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37500</v>
      </c>
      <c r="C28" s="108">
        <f>IF(ISNA(VLOOKUP($B28,'[2]MENGENLS1 27-07-2000'!$R$7:$S$71,2,0)),0,VLOOKUP($B28,'[2]MENGENLS1 27-07-2000'!$R$7:$S$71,2,0))</f>
        <v>39917</v>
      </c>
      <c r="D28" s="109">
        <f>IF(ISNA(VLOOKUP($B28,'[2]MENGENLS1 27-07-2000'!$U$7:$V$60,2,0)),0,VLOOKUP($B28,'[2]MENGENLS1 27-07-2000'!$U$7:$V$60,2,0))</f>
        <v>250</v>
      </c>
      <c r="E28" s="109">
        <f>IF(ISNA(VLOOKUP($B28,'[2]MENGENLS1 27-07-2000'!$X$7:$Y$27,2,0)),0,VLOOKUP($B28,'[2]MENGENLS1 27-07-2000'!$X$7:$Y$27,2,0))</f>
        <v>0</v>
      </c>
      <c r="F28" s="109">
        <f>IF(ISNA(VLOOKUP($B28,'[2]MENGENLS1 27-07-2000'!$AA$7:$AB$35,2,0)),0,VLOOKUP($B28,'[2]MENGENLS1 27-07-2000'!$AA$7:$AB$35,2,0))</f>
        <v>24</v>
      </c>
      <c r="G28" s="109">
        <f>IF(ISNA(VLOOKUP($B28,'[2]MENGENLS1 27-07-2000'!$AD$7:$AE$38,2,0)),0,VLOOKUP($B28,'[2]MENGENLS1 27-07-2000'!$AD$7:$AE$38,2,0))</f>
        <v>0</v>
      </c>
      <c r="H28" s="109">
        <f>IF(ISNA(VLOOKUP($B28,'[2]MENGENLS1 27-07-2000'!$AG$7:$AH$20,2,0)),0,VLOOKUP($B28,'[2]MENGENLS1 27-07-2000'!$AG$7:$AH$20,2,0))</f>
        <v>0</v>
      </c>
      <c r="I28" s="109">
        <f>IF(ISNA(VLOOKUP($B28,'[2]MENGENLS1 27-07-2000'!$AJ$7:$AK$38,2,0)),0,VLOOKUP($B28,'[2]MENGENLS1 27-07-2000'!$AJ$7:$AK$38,2,0))</f>
        <v>-381</v>
      </c>
      <c r="J28" s="109">
        <f>IF(ISNA(VLOOKUP($B28,'[2]MENGENLS1 27-07-2000'!$AM$7:$AN$38,2,0)),0,VLOOKUP($B28,'[2]MENGENLS1 27-07-2000'!$AM$7:$AN$38,2,0))</f>
        <v>0</v>
      </c>
      <c r="K28" s="109">
        <f>IF(ISNA(VLOOKUP($B28,'[2]MENGENLS1 27-07-2000'!$AP$7:$AQ$12,2,0)),0,VLOOKUP($B28,'[2]MENGENLS1 27-07-2000'!$AP$7:$AQ$12,2,0))</f>
        <v>0</v>
      </c>
      <c r="L28" s="260">
        <f>IF(ISNA(VLOOKUP($B28,'[2]MENGENLS1 27-07-2000'!$AS$7:$AT$23,2,0)),0,VLOOKUP($B28,'[2]MENGENLS1 27-07-2000'!$AS$7:$AT$23,2,0))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37530</v>
      </c>
      <c r="C29" s="108">
        <f>IF(ISNA(VLOOKUP($B29,'[2]MENGENLS1 27-07-2000'!$R$7:$S$71,2,0)),0,VLOOKUP($B29,'[2]MENGENLS1 27-07-2000'!$R$7:$S$71,2,0))</f>
        <v>-388</v>
      </c>
      <c r="D29" s="109">
        <f>IF(ISNA(VLOOKUP($B29,'[2]MENGENLS1 27-07-2000'!$U$7:$V$60,2,0)),0,VLOOKUP($B29,'[2]MENGENLS1 27-07-2000'!$U$7:$V$60,2,0))</f>
        <v>-25</v>
      </c>
      <c r="E29" s="109">
        <f>IF(ISNA(VLOOKUP($B29,'[2]MENGENLS1 27-07-2000'!$X$7:$Y$27,2,0)),0,VLOOKUP($B29,'[2]MENGENLS1 27-07-2000'!$X$7:$Y$27,2,0))</f>
        <v>0</v>
      </c>
      <c r="F29" s="109">
        <f>IF(ISNA(VLOOKUP($B29,'[2]MENGENLS1 27-07-2000'!$AA$7:$AB$35,2,0)),0,VLOOKUP($B29,'[2]MENGENLS1 27-07-2000'!$AA$7:$AB$35,2,0))</f>
        <v>-6</v>
      </c>
      <c r="G29" s="109">
        <f>IF(ISNA(VLOOKUP($B29,'[2]MENGENLS1 27-07-2000'!$AD$7:$AE$38,2,0)),0,VLOOKUP($B29,'[2]MENGENLS1 27-07-2000'!$AD$7:$AE$38,2,0))</f>
        <v>0</v>
      </c>
      <c r="H29" s="109">
        <f>IF(ISNA(VLOOKUP($B29,'[2]MENGENLS1 27-07-2000'!$AG$7:$AH$20,2,0)),0,VLOOKUP($B29,'[2]MENGENLS1 27-07-2000'!$AG$7:$AH$20,2,0))</f>
        <v>0</v>
      </c>
      <c r="I29" s="109">
        <f>IF(ISNA(VLOOKUP($B29,'[2]MENGENLS1 27-07-2000'!$AJ$7:$AK$38,2,0)),0,VLOOKUP($B29,'[2]MENGENLS1 27-07-2000'!$AJ$7:$AK$38,2,0))</f>
        <v>223</v>
      </c>
      <c r="J29" s="109">
        <f>IF(ISNA(VLOOKUP($B29,'[2]MENGENLS1 27-07-2000'!$AM$7:$AN$38,2,0)),0,VLOOKUP($B29,'[2]MENGENLS1 27-07-2000'!$AM$7:$AN$38,2,0))</f>
        <v>0</v>
      </c>
      <c r="K29" s="109">
        <f>IF(ISNA(VLOOKUP($B29,'[2]MENGENLS1 27-07-2000'!$AP$7:$AQ$12,2,0)),0,VLOOKUP($B29,'[2]MENGENLS1 27-07-2000'!$AP$7:$AQ$12,2,0))</f>
        <v>0</v>
      </c>
      <c r="L29" s="260">
        <f>IF(ISNA(VLOOKUP($B29,'[2]MENGENLS1 27-07-2000'!$AS$7:$AT$23,2,0)),0,VLOOKUP($B29,'[2]MENGENLS1 27-07-2000'!$AS$7:$AT$23,2,0))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37561</v>
      </c>
      <c r="C30" s="108">
        <f>IF(ISNA(VLOOKUP($B30,'[2]MENGENLS1 27-07-2000'!$R$7:$S$71,2,0)),0,VLOOKUP($B30,'[2]MENGENLS1 27-07-2000'!$R$7:$S$71,2,0))</f>
        <v>3461</v>
      </c>
      <c r="D30" s="109">
        <f>IF(ISNA(VLOOKUP($B30,'[2]MENGENLS1 27-07-2000'!$U$7:$V$60,2,0)),0,VLOOKUP($B30,'[2]MENGENLS1 27-07-2000'!$U$7:$V$60,2,0))</f>
        <v>50</v>
      </c>
      <c r="E30" s="109">
        <f>IF(ISNA(VLOOKUP($B30,'[2]MENGENLS1 27-07-2000'!$X$7:$Y$27,2,0)),0,VLOOKUP($B30,'[2]MENGENLS1 27-07-2000'!$X$7:$Y$27,2,0))</f>
        <v>0</v>
      </c>
      <c r="F30" s="109">
        <f>IF(ISNA(VLOOKUP($B30,'[2]MENGENLS1 27-07-2000'!$AA$7:$AB$35,2,0)),0,VLOOKUP($B30,'[2]MENGENLS1 27-07-2000'!$AA$7:$AB$35,2,0))</f>
        <v>-12</v>
      </c>
      <c r="G30" s="109">
        <f>IF(ISNA(VLOOKUP($B30,'[2]MENGENLS1 27-07-2000'!$AD$7:$AE$38,2,0)),0,VLOOKUP($B30,'[2]MENGENLS1 27-07-2000'!$AD$7:$AE$38,2,0))</f>
        <v>0</v>
      </c>
      <c r="H30" s="109">
        <f>IF(ISNA(VLOOKUP($B30,'[2]MENGENLS1 27-07-2000'!$AG$7:$AH$20,2,0)),0,VLOOKUP($B30,'[2]MENGENLS1 27-07-2000'!$AG$7:$AH$20,2,0))</f>
        <v>0</v>
      </c>
      <c r="I30" s="109">
        <f>IF(ISNA(VLOOKUP($B30,'[2]MENGENLS1 27-07-2000'!$AJ$7:$AK$38,2,0)),0,VLOOKUP($B30,'[2]MENGENLS1 27-07-2000'!$AJ$7:$AK$38,2,0))</f>
        <v>227</v>
      </c>
      <c r="J30" s="109">
        <f>IF(ISNA(VLOOKUP($B30,'[2]MENGENLS1 27-07-2000'!$AM$7:$AN$38,2,0)),0,VLOOKUP($B30,'[2]MENGENLS1 27-07-2000'!$AM$7:$AN$38,2,0))</f>
        <v>0</v>
      </c>
      <c r="K30" s="109">
        <f>IF(ISNA(VLOOKUP($B30,'[2]MENGENLS1 27-07-2000'!$AP$7:$AQ$12,2,0)),0,VLOOKUP($B30,'[2]MENGENLS1 27-07-2000'!$AP$7:$AQ$12,2,0))</f>
        <v>0</v>
      </c>
      <c r="L30" s="260">
        <f>IF(ISNA(VLOOKUP($B30,'[2]MENGENLS1 27-07-2000'!$AS$7:$AT$23,2,0)),0,VLOOKUP($B30,'[2]MENGENLS1 27-07-2000'!$AS$7:$AT$23,2,0))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37591</v>
      </c>
      <c r="C31" s="108">
        <f>IF(ISNA(VLOOKUP($B31,'[2]MENGENLS1 27-07-2000'!$R$7:$S$71,2,0)),0,VLOOKUP($B31,'[2]MENGENLS1 27-07-2000'!$R$7:$S$71,2,0))</f>
        <v>-12647</v>
      </c>
      <c r="D31" s="109">
        <f>IF(ISNA(VLOOKUP($B31,'[2]MENGENLS1 27-07-2000'!$U$7:$V$60,2,0)),0,VLOOKUP($B31,'[2]MENGENLS1 27-07-2000'!$U$7:$V$60,2,0))</f>
        <v>150</v>
      </c>
      <c r="E31" s="109">
        <f>IF(ISNA(VLOOKUP($B31,'[2]MENGENLS1 27-07-2000'!$X$7:$Y$27,2,0)),0,VLOOKUP($B31,'[2]MENGENLS1 27-07-2000'!$X$7:$Y$27,2,0))</f>
        <v>0</v>
      </c>
      <c r="F31" s="109">
        <f>IF(ISNA(VLOOKUP($B31,'[2]MENGENLS1 27-07-2000'!$AA$7:$AB$35,2,0)),0,VLOOKUP($B31,'[2]MENGENLS1 27-07-2000'!$AA$7:$AB$35,2,0))</f>
        <v>0</v>
      </c>
      <c r="G31" s="109">
        <f>IF(ISNA(VLOOKUP($B31,'[2]MENGENLS1 27-07-2000'!$AD$7:$AE$38,2,0)),0,VLOOKUP($B31,'[2]MENGENLS1 27-07-2000'!$AD$7:$AE$38,2,0))</f>
        <v>0</v>
      </c>
      <c r="H31" s="109">
        <f>IF(ISNA(VLOOKUP($B31,'[2]MENGENLS1 27-07-2000'!$AG$7:$AH$20,2,0)),0,VLOOKUP($B31,'[2]MENGENLS1 27-07-2000'!$AG$7:$AH$20,2,0))</f>
        <v>0</v>
      </c>
      <c r="I31" s="109">
        <f>IF(ISNA(VLOOKUP($B31,'[2]MENGENLS1 27-07-2000'!$AJ$7:$AK$38,2,0)),0,VLOOKUP($B31,'[2]MENGENLS1 27-07-2000'!$AJ$7:$AK$38,2,0))</f>
        <v>232</v>
      </c>
      <c r="J31" s="109">
        <f>IF(ISNA(VLOOKUP($B31,'[2]MENGENLS1 27-07-2000'!$AM$7:$AN$38,2,0)),0,VLOOKUP($B31,'[2]MENGENLS1 27-07-2000'!$AM$7:$AN$38,2,0))</f>
        <v>0</v>
      </c>
      <c r="K31" s="109">
        <f>IF(ISNA(VLOOKUP($B31,'[2]MENGENLS1 27-07-2000'!$AP$7:$AQ$12,2,0)),0,VLOOKUP($B31,'[2]MENGENLS1 27-07-2000'!$AP$7:$AQ$12,2,0))</f>
        <v>0</v>
      </c>
      <c r="L31" s="260">
        <f>IF(ISNA(VLOOKUP($B31,'[2]MENGENLS1 27-07-2000'!$AS$7:$AT$23,2,0)),0,VLOOKUP($B31,'[2]MENGENLS1 27-07-2000'!$AS$7:$AT$23,2,0))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37622</v>
      </c>
      <c r="C32" s="108">
        <f>IF(ISNA(VLOOKUP($B32,'[2]MENGENLS1 27-07-2000'!$R$7:$S$71,2,0)),0,VLOOKUP($B32,'[2]MENGENLS1 27-07-2000'!$R$7:$S$71,2,0))</f>
        <v>-1153</v>
      </c>
      <c r="D32" s="109">
        <f>IF(ISNA(VLOOKUP($B32,'[2]MENGENLS1 27-07-2000'!$U$7:$V$60,2,0)),0,VLOOKUP($B32,'[2]MENGENLS1 27-07-2000'!$U$7:$V$60,2,0))</f>
        <v>100</v>
      </c>
      <c r="E32" s="109">
        <f>IF(ISNA(VLOOKUP($B32,'[2]MENGENLS1 27-07-2000'!$X$7:$Y$27,2,0)),0,VLOOKUP($B32,'[2]MENGENLS1 27-07-2000'!$X$7:$Y$27,2,0))</f>
        <v>0</v>
      </c>
      <c r="F32" s="109">
        <f>IF(ISNA(VLOOKUP($B32,'[2]MENGENLS1 27-07-2000'!$AA$7:$AB$35,2,0)),0,VLOOKUP($B32,'[2]MENGENLS1 27-07-2000'!$AA$7:$AB$35,2,0))</f>
        <v>0</v>
      </c>
      <c r="G32" s="109">
        <f>IF(ISNA(VLOOKUP($B32,'[2]MENGENLS1 27-07-2000'!$AD$7:$AE$38,2,0)),0,VLOOKUP($B32,'[2]MENGENLS1 27-07-2000'!$AD$7:$AE$38,2,0))</f>
        <v>0</v>
      </c>
      <c r="H32" s="109">
        <f>IF(ISNA(VLOOKUP($B32,'[2]MENGENLS1 27-07-2000'!$AG$7:$AH$20,2,0)),0,VLOOKUP($B32,'[2]MENGENLS1 27-07-2000'!$AG$7:$AH$20,2,0))</f>
        <v>0</v>
      </c>
      <c r="I32" s="109">
        <f>IF(ISNA(VLOOKUP($B32,'[2]MENGENLS1 27-07-2000'!$AJ$7:$AK$38,2,0)),0,VLOOKUP($B32,'[2]MENGENLS1 27-07-2000'!$AJ$7:$AK$38,2,0))</f>
        <v>236</v>
      </c>
      <c r="J32" s="109">
        <f>IF(ISNA(VLOOKUP($B32,'[2]MENGENLS1 27-07-2000'!$AM$7:$AN$38,2,0)),0,VLOOKUP($B32,'[2]MENGENLS1 27-07-2000'!$AM$7:$AN$38,2,0))</f>
        <v>0</v>
      </c>
      <c r="K32" s="109">
        <f>IF(ISNA(VLOOKUP($B32,'[2]MENGENLS1 27-07-2000'!$AP$7:$AQ$12,2,0)),0,VLOOKUP($B32,'[2]MENGENLS1 27-07-2000'!$AP$7:$AQ$12,2,0))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37653</v>
      </c>
      <c r="C33" s="108">
        <f>IF(ISNA(VLOOKUP($B33,'[2]MENGENLS1 27-07-2000'!$R$7:$S$71,2,0)),0,VLOOKUP($B33,'[2]MENGENLS1 27-07-2000'!$R$7:$S$71,2,0))</f>
        <v>-5774</v>
      </c>
      <c r="D33" s="109">
        <f>IF(ISNA(VLOOKUP($B33,'[2]MENGENLS1 27-07-2000'!$U$7:$V$60,2,0)),0,VLOOKUP($B33,'[2]MENGENLS1 27-07-2000'!$U$7:$V$60,2,0))</f>
        <v>100</v>
      </c>
      <c r="E33" s="109">
        <f>IF(ISNA(VLOOKUP($B33,'[2]MENGENLS1 27-07-2000'!$X$7:$Y$27,2,0)),0,VLOOKUP($B33,'[2]MENGENLS1 27-07-2000'!$X$7:$Y$27,2,0))</f>
        <v>0</v>
      </c>
      <c r="F33" s="109">
        <f>IF(ISNA(VLOOKUP($B33,'[2]MENGENLS1 27-07-2000'!$AA$7:$AB$35,2,0)),0,VLOOKUP($B33,'[2]MENGENLS1 27-07-2000'!$AA$7:$AB$35,2,0))</f>
        <v>0</v>
      </c>
      <c r="G33" s="109">
        <f>IF(ISNA(VLOOKUP($B33,'[2]MENGENLS1 27-07-2000'!$AD$7:$AE$38,2,0)),0,VLOOKUP($B33,'[2]MENGENLS1 27-07-2000'!$AD$7:$AE$38,2,0))</f>
        <v>0</v>
      </c>
      <c r="H33" s="109">
        <f>IF(ISNA(VLOOKUP($B33,'[2]MENGENLS1 27-07-2000'!$AG$7:$AH$20,2,0)),0,VLOOKUP($B33,'[2]MENGENLS1 27-07-2000'!$AG$7:$AH$20,2,0))</f>
        <v>0</v>
      </c>
      <c r="I33" s="109">
        <f>IF(ISNA(VLOOKUP($B33,'[2]MENGENLS1 27-07-2000'!$AJ$7:$AK$38,2,0)),0,VLOOKUP($B33,'[2]MENGENLS1 27-07-2000'!$AJ$7:$AK$38,2,0))</f>
        <v>0</v>
      </c>
      <c r="J33" s="109">
        <f>IF(ISNA(VLOOKUP($B33,'[2]MENGENLS1 27-07-2000'!$AM$7:$AN$38,2,0)),0,VLOOKUP($B33,'[2]MENGENLS1 27-07-2000'!$AM$7:$AN$38,2,0))</f>
        <v>0</v>
      </c>
      <c r="K33" s="109">
        <f>IF(ISNA(VLOOKUP($B33,'[2]MENGENLS1 27-07-2000'!$AP$7:$AQ$12,2,0)),0,VLOOKUP($B33,'[2]MENGENLS1 27-07-2000'!$AP$7:$AQ$12,2,0))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37681</v>
      </c>
      <c r="C34" s="108">
        <f>IF(ISNA(VLOOKUP($B34,'[2]MENGENLS1 27-07-2000'!$R$7:$S$71,2,0)),0,VLOOKUP($B34,'[2]MENGENLS1 27-07-2000'!$R$7:$S$71,2,0))</f>
        <v>-5706</v>
      </c>
      <c r="D34" s="109">
        <f>IF(ISNA(VLOOKUP($B34,'[2]MENGENLS1 27-07-2000'!$U$7:$V$60,2,0)),0,VLOOKUP($B34,'[2]MENGENLS1 27-07-2000'!$U$7:$V$60,2,0))</f>
        <v>-25</v>
      </c>
      <c r="E34" s="109">
        <f>IF(ISNA(VLOOKUP($B34,'[2]MENGENLS1 27-07-2000'!$X$7:$Y$27,2,0)),0,VLOOKUP($B34,'[2]MENGENLS1 27-07-2000'!$X$7:$Y$27,2,0))</f>
        <v>0</v>
      </c>
      <c r="F34" s="109">
        <f>IF(ISNA(VLOOKUP($B34,'[2]MENGENLS1 27-07-2000'!$AA$7:$AB$35,2,0)),0,VLOOKUP($B34,'[2]MENGENLS1 27-07-2000'!$AA$7:$AB$35,2,0))</f>
        <v>0</v>
      </c>
      <c r="G34" s="109">
        <f>IF(ISNA(VLOOKUP($B34,'[2]MENGENLS1 27-07-2000'!$AD$7:$AE$38,2,0)),0,VLOOKUP($B34,'[2]MENGENLS1 27-07-2000'!$AD$7:$AE$38,2,0))</f>
        <v>0</v>
      </c>
      <c r="H34" s="109">
        <f>IF(ISNA(VLOOKUP($B34,'[2]MENGENLS1 27-07-2000'!$AG$7:$AH$20,2,0)),0,VLOOKUP($B34,'[2]MENGENLS1 27-07-2000'!$AG$7:$AH$20,2,0))</f>
        <v>0</v>
      </c>
      <c r="I34" s="109">
        <f>IF(ISNA(VLOOKUP($B34,'[2]MENGENLS1 27-07-2000'!$AJ$7:$AK$38,2,0)),0,VLOOKUP($B34,'[2]MENGENLS1 27-07-2000'!$AJ$7:$AK$38,2,0))</f>
        <v>0</v>
      </c>
      <c r="J34" s="109">
        <f>IF(ISNA(VLOOKUP($B34,'[2]MENGENLS1 27-07-2000'!$AM$7:$AN$38,2,0)),0,VLOOKUP($B34,'[2]MENGENLS1 27-07-2000'!$AM$7:$AN$38,2,0))</f>
        <v>0</v>
      </c>
      <c r="K34" s="109">
        <f>IF(ISNA(VLOOKUP($B34,'[2]MENGENLS1 27-07-2000'!$AP$7:$AQ$12,2,0)),0,VLOOKUP($B34,'[2]MENGENLS1 27-07-2000'!$AP$7:$AQ$12,2,0))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37712</v>
      </c>
      <c r="C35" s="108">
        <f>IF(ISNA(VLOOKUP($B35,'[2]MENGENLS1 27-07-2000'!$R$7:$S$71,2,0)),0,VLOOKUP($B35,'[2]MENGENLS1 27-07-2000'!$R$7:$S$71,2,0))</f>
        <v>-14</v>
      </c>
      <c r="D35" s="109">
        <f>IF(ISNA(VLOOKUP($B35,'[2]MENGENLS1 27-07-2000'!$U$7:$V$60,2,0)),0,VLOOKUP($B35,'[2]MENGENLS1 27-07-2000'!$U$7:$V$60,2,0))</f>
        <v>100</v>
      </c>
      <c r="E35" s="109">
        <f>IF(ISNA(VLOOKUP($B35,'[2]MENGENLS1 27-07-2000'!$X$7:$Y$27,2,0)),0,VLOOKUP($B35,'[2]MENGENLS1 27-07-2000'!$X$7:$Y$27,2,0))</f>
        <v>0</v>
      </c>
      <c r="F35" s="109">
        <f>IF(ISNA(VLOOKUP($B35,'[2]MENGENLS1 27-07-2000'!$AA$7:$AB$35,2,0)),0,VLOOKUP($B35,'[2]MENGENLS1 27-07-2000'!$AA$7:$AB$35,2,0))</f>
        <v>0</v>
      </c>
      <c r="G35" s="109">
        <f>IF(ISNA(VLOOKUP($B35,'[2]MENGENLS1 27-07-2000'!$AD$7:$AE$38,2,0)),0,VLOOKUP($B35,'[2]MENGENLS1 27-07-2000'!$AD$7:$AE$38,2,0))</f>
        <v>0</v>
      </c>
      <c r="H35" s="109">
        <f>IF(ISNA(VLOOKUP($B35,'[2]MENGENLS1 27-07-2000'!$AG$7:$AH$20,2,0)),0,VLOOKUP($B35,'[2]MENGENLS1 27-07-2000'!$AG$7:$AH$20,2,0))</f>
        <v>0</v>
      </c>
      <c r="I35" s="109">
        <f>IF(ISNA(VLOOKUP($B35,'[2]MENGENLS1 27-07-2000'!$AJ$7:$AK$38,2,0)),0,VLOOKUP($B35,'[2]MENGENLS1 27-07-2000'!$AJ$7:$AK$38,2,0))</f>
        <v>0</v>
      </c>
      <c r="J35" s="109">
        <f>IF(ISNA(VLOOKUP($B35,'[2]MENGENLS1 27-07-2000'!$AM$7:$AN$38,2,0)),0,VLOOKUP($B35,'[2]MENGENLS1 27-07-2000'!$AM$7:$AN$38,2,0))</f>
        <v>0</v>
      </c>
      <c r="K35" s="109">
        <f>IF(ISNA(VLOOKUP($B35,'[2]MENGENLS1 27-07-2000'!$AP$7:$AQ$12,2,0)),0,VLOOKUP($B35,'[2]MENGENLS1 27-07-2000'!$AP$7:$AQ$12,2,0))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37742</v>
      </c>
      <c r="C36" s="108">
        <f>IF(ISNA(VLOOKUP($B36,'[2]MENGENLS1 27-07-2000'!$R$7:$S$71,2,0)),0,VLOOKUP($B36,'[2]MENGENLS1 27-07-2000'!$R$7:$S$71,2,0))</f>
        <v>-26</v>
      </c>
      <c r="D36" s="109">
        <f>IF(ISNA(VLOOKUP($B36,'[2]MENGENLS1 27-07-2000'!$U$7:$V$60,2,0)),0,VLOOKUP($B36,'[2]MENGENLS1 27-07-2000'!$U$7:$V$60,2,0))</f>
        <v>100</v>
      </c>
      <c r="E36" s="109">
        <f>IF(ISNA(VLOOKUP($B36,'[2]MENGENLS1 27-07-2000'!$X$7:$Y$27,2,0)),0,VLOOKUP($B36,'[2]MENGENLS1 27-07-2000'!$X$7:$Y$27,2,0))</f>
        <v>0</v>
      </c>
      <c r="F36" s="109">
        <f>IF(ISNA(VLOOKUP($B36,'[2]MENGENLS1 27-07-2000'!$AA$7:$AB$35,2,0)),0,VLOOKUP($B36,'[2]MENGENLS1 27-07-2000'!$AA$7:$AB$35,2,0))</f>
        <v>0</v>
      </c>
      <c r="G36" s="109">
        <f>IF(ISNA(VLOOKUP($B36,'[2]MENGENLS1 27-07-2000'!$AD$7:$AE$38,2,0)),0,VLOOKUP($B36,'[2]MENGENLS1 27-07-2000'!$AD$7:$AE$38,2,0))</f>
        <v>0</v>
      </c>
      <c r="H36" s="109">
        <f>IF(ISNA(VLOOKUP($B36,'[2]MENGENLS1 27-07-2000'!$AG$7:$AH$20,2,0)),0,VLOOKUP($B36,'[2]MENGENLS1 27-07-2000'!$AG$7:$AH$20,2,0))</f>
        <v>0</v>
      </c>
      <c r="I36" s="109">
        <f>IF(ISNA(VLOOKUP($B36,'[2]MENGENLS1 27-07-2000'!$AJ$7:$AK$38,2,0)),0,VLOOKUP($B36,'[2]MENGENLS1 27-07-2000'!$AJ$7:$AK$38,2,0))</f>
        <v>0</v>
      </c>
      <c r="J36" s="109">
        <f>IF(ISNA(VLOOKUP($B36,'[2]MENGENLS1 27-07-2000'!$AM$7:$AN$38,2,0)),0,VLOOKUP($B36,'[2]MENGENLS1 27-07-2000'!$AM$7:$AN$38,2,0))</f>
        <v>0</v>
      </c>
      <c r="K36" s="109">
        <f>IF(ISNA(VLOOKUP($B36,'[2]MENGENLS1 27-07-2000'!$AP$7:$AQ$12,2,0)),0,VLOOKUP($B36,'[2]MENGENLS1 27-07-2000'!$AP$7:$AQ$12,2,0))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37773</v>
      </c>
      <c r="C37" s="108">
        <f>IF(ISNA(VLOOKUP($B37,'[2]MENGENLS1 27-07-2000'!$R$7:$S$71,2,0)),0,VLOOKUP($B37,'[2]MENGENLS1 27-07-2000'!$R$7:$S$71,2,0))</f>
        <v>-58</v>
      </c>
      <c r="D37" s="109">
        <f>IF(ISNA(VLOOKUP($B37,'[2]MENGENLS1 27-07-2000'!$U$7:$V$60,2,0)),0,VLOOKUP($B37,'[2]MENGENLS1 27-07-2000'!$U$7:$V$60,2,0))</f>
        <v>100</v>
      </c>
      <c r="E37" s="109">
        <f>IF(ISNA(VLOOKUP($B37,'[2]MENGENLS1 27-07-2000'!$X$7:$Y$27,2,0)),0,VLOOKUP($B37,'[2]MENGENLS1 27-07-2000'!$X$7:$Y$27,2,0))</f>
        <v>0</v>
      </c>
      <c r="F37" s="109">
        <f>IF(ISNA(VLOOKUP($B37,'[2]MENGENLS1 27-07-2000'!$AA$7:$AB$35,2,0)),0,VLOOKUP($B37,'[2]MENGENLS1 27-07-2000'!$AA$7:$AB$35,2,0))</f>
        <v>0</v>
      </c>
      <c r="G37" s="109">
        <f>IF(ISNA(VLOOKUP($B37,'[2]MENGENLS1 27-07-2000'!$AD$7:$AE$38,2,0)),0,VLOOKUP($B37,'[2]MENGENLS1 27-07-2000'!$AD$7:$AE$38,2,0))</f>
        <v>0</v>
      </c>
      <c r="H37" s="109">
        <f>IF(ISNA(VLOOKUP($B37,'[2]MENGENLS1 27-07-2000'!$AG$7:$AH$20,2,0)),0,VLOOKUP($B37,'[2]MENGENLS1 27-07-2000'!$AG$7:$AH$20,2,0))</f>
        <v>0</v>
      </c>
      <c r="I37" s="109">
        <f>IF(ISNA(VLOOKUP($B37,'[2]MENGENLS1 27-07-2000'!$AJ$7:$AK$38,2,0)),0,VLOOKUP($B37,'[2]MENGENLS1 27-07-2000'!$AJ$7:$AK$38,2,0))</f>
        <v>0</v>
      </c>
      <c r="J37" s="109">
        <f>IF(ISNA(VLOOKUP($B37,'[2]MENGENLS1 27-07-2000'!$AM$7:$AN$38,2,0)),0,VLOOKUP($B37,'[2]MENGENLS1 27-07-2000'!$AM$7:$AN$38,2,0))</f>
        <v>0</v>
      </c>
      <c r="K37" s="109">
        <f>IF(ISNA(VLOOKUP($B37,'[2]MENGENLS1 27-07-2000'!$AP$7:$AQ$12,2,0)),0,VLOOKUP($B37,'[2]MENGENLS1 27-07-2000'!$AP$7:$AQ$12,2,0))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37803</v>
      </c>
      <c r="C38" s="108">
        <f>IF(ISNA(VLOOKUP($B38,'[2]MENGENLS1 27-07-2000'!$R$7:$S$71,2,0)),0,VLOOKUP($B38,'[2]MENGENLS1 27-07-2000'!$R$7:$S$71,2,0))</f>
        <v>-10040</v>
      </c>
      <c r="D38" s="109">
        <f>IF(ISNA(VLOOKUP($B38,'[2]MENGENLS1 27-07-2000'!$U$7:$V$60,2,0)),0,VLOOKUP($B38,'[2]MENGENLS1 27-07-2000'!$U$7:$V$60,2,0))</f>
        <v>100</v>
      </c>
      <c r="E38" s="109">
        <f>IF(ISNA(VLOOKUP($B38,'[2]MENGENLS1 27-07-2000'!$X$7:$Y$27,2,0)),0,VLOOKUP($B38,'[2]MENGENLS1 27-07-2000'!$X$7:$Y$27,2,0))</f>
        <v>0</v>
      </c>
      <c r="F38" s="109">
        <f>IF(ISNA(VLOOKUP($B38,'[2]MENGENLS1 27-07-2000'!$AA$7:$AB$35,2,0)),0,VLOOKUP($B38,'[2]MENGENLS1 27-07-2000'!$AA$7:$AB$35,2,0))</f>
        <v>0</v>
      </c>
      <c r="G38" s="109">
        <f>IF(ISNA(VLOOKUP($B38,'[2]MENGENLS1 27-07-2000'!$AD$7:$AE$38,2,0)),0,VLOOKUP($B38,'[2]MENGENLS1 27-07-2000'!$AD$7:$AE$38,2,0))</f>
        <v>0</v>
      </c>
      <c r="H38" s="109">
        <f>IF(ISNA(VLOOKUP($B38,'[2]MENGENLS1 27-07-2000'!$AG$7:$AH$20,2,0)),0,VLOOKUP($B38,'[2]MENGENLS1 27-07-2000'!$AG$7:$AH$20,2,0))</f>
        <v>0</v>
      </c>
      <c r="I38" s="109">
        <f>IF(ISNA(VLOOKUP($B38,'[2]MENGENLS1 27-07-2000'!$AJ$7:$AK$38,2,0)),0,VLOOKUP($B38,'[2]MENGENLS1 27-07-2000'!$AJ$7:$AK$38,2,0))</f>
        <v>0</v>
      </c>
      <c r="J38" s="109">
        <f>IF(ISNA(VLOOKUP($B38,'[2]MENGENLS1 27-07-2000'!$AM$7:$AN$38,2,0)),0,VLOOKUP($B38,'[2]MENGENLS1 27-07-2000'!$AM$7:$AN$38,2,0))</f>
        <v>0</v>
      </c>
      <c r="K38" s="109">
        <f>IF(ISNA(VLOOKUP($B38,'[2]MENGENLS1 27-07-2000'!$AP$7:$AQ$12,2,0)),0,VLOOKUP($B38,'[2]MENGENLS1 27-07-2000'!$AP$7:$AQ$12,2,0))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37834</v>
      </c>
      <c r="C39" s="108">
        <f>IF(ISNA(VLOOKUP($B39,'[2]MENGENLS1 27-07-2000'!$R$7:$S$71,2,0)),0,VLOOKUP($B39,'[2]MENGENLS1 27-07-2000'!$R$7:$S$71,2,0))</f>
        <v>-6925</v>
      </c>
      <c r="D39" s="109">
        <f>IF(ISNA(VLOOKUP($B39,'[2]MENGENLS1 27-07-2000'!$U$7:$V$60,2,0)),0,VLOOKUP($B39,'[2]MENGENLS1 27-07-2000'!$U$7:$V$60,2,0))</f>
        <v>100</v>
      </c>
      <c r="E39" s="109">
        <f>IF(ISNA(VLOOKUP($B39,'[2]MENGENLS1 27-07-2000'!$X$7:$Y$27,2,0)),0,VLOOKUP($B39,'[2]MENGENLS1 27-07-2000'!$X$7:$Y$27,2,0))</f>
        <v>0</v>
      </c>
      <c r="F39" s="109">
        <f>IF(ISNA(VLOOKUP($B39,'[2]MENGENLS1 27-07-2000'!$AA$7:$AB$35,2,0)),0,VLOOKUP($B39,'[2]MENGENLS1 27-07-2000'!$AA$7:$AB$35,2,0))</f>
        <v>0</v>
      </c>
      <c r="G39" s="109">
        <f>IF(ISNA(VLOOKUP($B39,'[2]MENGENLS1 27-07-2000'!$AD$7:$AE$38,2,0)),0,VLOOKUP($B39,'[2]MENGENLS1 27-07-2000'!$AD$7:$AE$38,2,0))</f>
        <v>0</v>
      </c>
      <c r="H39" s="109">
        <f>IF(ISNA(VLOOKUP($B39,'[2]MENGENLS1 27-07-2000'!$AG$7:$AH$20,2,0)),0,VLOOKUP($B39,'[2]MENGENLS1 27-07-2000'!$AG$7:$AH$20,2,0))</f>
        <v>0</v>
      </c>
      <c r="I39" s="109">
        <f>IF(ISNA(VLOOKUP($B39,'[2]MENGENLS1 27-07-2000'!$AJ$7:$AK$38,2,0)),0,VLOOKUP($B39,'[2]MENGENLS1 27-07-2000'!$AJ$7:$AK$38,2,0))</f>
        <v>0</v>
      </c>
      <c r="J39" s="109">
        <f>IF(ISNA(VLOOKUP($B39,'[2]MENGENLS1 27-07-2000'!$AM$7:$AN$38,2,0)),0,VLOOKUP($B39,'[2]MENGENLS1 27-07-2000'!$AM$7:$AN$38,2,0))</f>
        <v>0</v>
      </c>
      <c r="K39" s="109">
        <f>IF(ISNA(VLOOKUP($B39,'[2]MENGENLS1 27-07-2000'!$AP$7:$AQ$12,2,0)),0,VLOOKUP($B39,'[2]MENGENLS1 27-07-2000'!$AP$7:$AQ$12,2,0))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37865</v>
      </c>
      <c r="C40" s="108">
        <f>IF(ISNA(VLOOKUP($B40,'[2]MENGENLS1 27-07-2000'!$R$7:$S$71,2,0)),0,VLOOKUP($B40,'[2]MENGENLS1 27-07-2000'!$R$7:$S$71,2,0))</f>
        <v>-81</v>
      </c>
      <c r="D40" s="109">
        <f>IF(ISNA(VLOOKUP($B40,'[2]MENGENLS1 27-07-2000'!$U$7:$V$60,2,0)),0,VLOOKUP($B40,'[2]MENGENLS1 27-07-2000'!$U$7:$V$60,2,0))</f>
        <v>100</v>
      </c>
      <c r="E40" s="109">
        <f>IF(ISNA(VLOOKUP($B40,'[2]MENGENLS1 27-07-2000'!$X$7:$Y$27,2,0)),0,VLOOKUP($B40,'[2]MENGENLS1 27-07-2000'!$X$7:$Y$27,2,0))</f>
        <v>0</v>
      </c>
      <c r="F40" s="109">
        <f>IF(ISNA(VLOOKUP($B40,'[2]MENGENLS1 27-07-2000'!$AA$7:$AB$35,2,0)),0,VLOOKUP($B40,'[2]MENGENLS1 27-07-2000'!$AA$7:$AB$35,2,0))</f>
        <v>0</v>
      </c>
      <c r="G40" s="109">
        <f>IF(ISNA(VLOOKUP($B40,'[2]MENGENLS1 27-07-2000'!$AD$7:$AE$38,2,0)),0,VLOOKUP($B40,'[2]MENGENLS1 27-07-2000'!$AD$7:$AE$38,2,0))</f>
        <v>0</v>
      </c>
      <c r="H40" s="109">
        <f>IF(ISNA(VLOOKUP($B40,'[2]MENGENLS1 27-07-2000'!$AG$7:$AH$20,2,0)),0,VLOOKUP($B40,'[2]MENGENLS1 27-07-2000'!$AG$7:$AH$20,2,0))</f>
        <v>0</v>
      </c>
      <c r="I40" s="109">
        <f>IF(ISNA(VLOOKUP($B40,'[2]MENGENLS1 27-07-2000'!$AJ$7:$AK$38,2,0)),0,VLOOKUP($B40,'[2]MENGENLS1 27-07-2000'!$AJ$7:$AK$38,2,0))</f>
        <v>0</v>
      </c>
      <c r="J40" s="109">
        <f>IF(ISNA(VLOOKUP($B40,'[2]MENGENLS1 27-07-2000'!$AM$7:$AN$38,2,0)),0,VLOOKUP($B40,'[2]MENGENLS1 27-07-2000'!$AM$7:$AN$38,2,0))</f>
        <v>0</v>
      </c>
      <c r="K40" s="109">
        <f>IF(ISNA(VLOOKUP($B40,'[2]MENGENLS1 27-07-2000'!$AP$7:$AQ$12,2,0)),0,VLOOKUP($B40,'[2]MENGENLS1 27-07-2000'!$AP$7:$AQ$12,2,0))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37895</v>
      </c>
      <c r="C41" s="108">
        <f>IF(ISNA(VLOOKUP($B41,'[2]MENGENLS1 27-07-2000'!$R$7:$S$71,2,0)),0,VLOOKUP($B41,'[2]MENGENLS1 27-07-2000'!$R$7:$S$71,2,0))</f>
        <v>539</v>
      </c>
      <c r="D41" s="109">
        <f>IF(ISNA(VLOOKUP($B41,'[2]MENGENLS1 27-07-2000'!$U$7:$V$60,2,0)),0,VLOOKUP($B41,'[2]MENGENLS1 27-07-2000'!$U$7:$V$60,2,0))</f>
        <v>100</v>
      </c>
      <c r="E41" s="109">
        <f>IF(ISNA(VLOOKUP($B41,'[2]MENGENLS1 27-07-2000'!$X$7:$Y$27,2,0)),0,VLOOKUP($B41,'[2]MENGENLS1 27-07-2000'!$X$7:$Y$27,2,0))</f>
        <v>0</v>
      </c>
      <c r="F41" s="109">
        <f>IF(ISNA(VLOOKUP($B41,'[2]MENGENLS1 27-07-2000'!$AA$7:$AB$35,2,0)),0,VLOOKUP($B41,'[2]MENGENLS1 27-07-2000'!$AA$7:$AB$35,2,0))</f>
        <v>0</v>
      </c>
      <c r="G41" s="109">
        <f>IF(ISNA(VLOOKUP($B41,'[2]MENGENLS1 27-07-2000'!$AD$7:$AE$38,2,0)),0,VLOOKUP($B41,'[2]MENGENLS1 27-07-2000'!$AD$7:$AE$38,2,0))</f>
        <v>0</v>
      </c>
      <c r="H41" s="109">
        <f>IF(ISNA(VLOOKUP($B41,'[2]MENGENLS1 27-07-2000'!$AG$7:$AH$20,2,0)),0,VLOOKUP($B41,'[2]MENGENLS1 27-07-2000'!$AG$7:$AH$20,2,0))</f>
        <v>0</v>
      </c>
      <c r="I41" s="109">
        <f>IF(ISNA(VLOOKUP($B41,'[2]MENGENLS1 27-07-2000'!$AJ$7:$AK$38,2,0)),0,VLOOKUP($B41,'[2]MENGENLS1 27-07-2000'!$AJ$7:$AK$38,2,0))</f>
        <v>0</v>
      </c>
      <c r="J41" s="109">
        <f>IF(ISNA(VLOOKUP($B41,'[2]MENGENLS1 27-07-2000'!$AM$7:$AN$38,2,0)),0,VLOOKUP($B41,'[2]MENGENLS1 27-07-2000'!$AM$7:$AN$38,2,0))</f>
        <v>0</v>
      </c>
      <c r="K41" s="109">
        <f>IF(ISNA(VLOOKUP($B41,'[2]MENGENLS1 27-07-2000'!$AP$7:$AQ$12,2,0)),0,VLOOKUP($B41,'[2]MENGENLS1 27-07-2000'!$AP$7:$AQ$12,2,0))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37926</v>
      </c>
      <c r="C42" s="108">
        <f>IF(ISNA(VLOOKUP($B42,'[2]MENGENLS1 27-07-2000'!$R$7:$S$71,2,0)),0,VLOOKUP($B42,'[2]MENGENLS1 27-07-2000'!$R$7:$S$71,2,0))</f>
        <v>530</v>
      </c>
      <c r="D42" s="109">
        <f>IF(ISNA(VLOOKUP($B42,'[2]MENGENLS1 27-07-2000'!$U$7:$V$60,2,0)),0,VLOOKUP($B42,'[2]MENGENLS1 27-07-2000'!$U$7:$V$60,2,0))</f>
        <v>100</v>
      </c>
      <c r="E42" s="109">
        <f>IF(ISNA(VLOOKUP($B42,'[2]MENGENLS1 27-07-2000'!$X$7:$Y$27,2,0)),0,VLOOKUP($B42,'[2]MENGENLS1 27-07-2000'!$X$7:$Y$27,2,0))</f>
        <v>0</v>
      </c>
      <c r="F42" s="109">
        <f>IF(ISNA(VLOOKUP($B42,'[2]MENGENLS1 27-07-2000'!$AA$7:$AB$35,2,0)),0,VLOOKUP($B42,'[2]MENGENLS1 27-07-2000'!$AA$7:$AB$35,2,0))</f>
        <v>0</v>
      </c>
      <c r="G42" s="109">
        <f>IF(ISNA(VLOOKUP($B42,'[2]MENGENLS1 27-07-2000'!$AD$7:$AE$38,2,0)),0,VLOOKUP($B42,'[2]MENGENLS1 27-07-2000'!$AD$7:$AE$38,2,0))</f>
        <v>0</v>
      </c>
      <c r="H42" s="109">
        <f>IF(ISNA(VLOOKUP($B42,'[2]MENGENLS1 27-07-2000'!$AG$7:$AH$20,2,0)),0,VLOOKUP($B42,'[2]MENGENLS1 27-07-2000'!$AG$7:$AH$20,2,0))</f>
        <v>0</v>
      </c>
      <c r="I42" s="109">
        <f>IF(ISNA(VLOOKUP($B42,'[2]MENGENLS1 27-07-2000'!$AJ$7:$AK$38,2,0)),0,VLOOKUP($B42,'[2]MENGENLS1 27-07-2000'!$AJ$7:$AK$38,2,0))</f>
        <v>0</v>
      </c>
      <c r="J42" s="109">
        <f>IF(ISNA(VLOOKUP($B42,'[2]MENGENLS1 27-07-2000'!$AM$7:$AN$38,2,0)),0,VLOOKUP($B42,'[2]MENGENLS1 27-07-2000'!$AM$7:$AN$38,2,0))</f>
        <v>0</v>
      </c>
      <c r="K42" s="109">
        <f>IF(ISNA(VLOOKUP($B42,'[2]MENGENLS1 27-07-2000'!$AP$7:$AQ$12,2,0)),0,VLOOKUP($B42,'[2]MENGENLS1 27-07-2000'!$AP$7:$AQ$12,2,0))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37956</v>
      </c>
      <c r="C43" s="108">
        <f>IF(ISNA(VLOOKUP($B43,'[2]MENGENLS1 27-07-2000'!$R$7:$S$71,2,0)),0,VLOOKUP($B43,'[2]MENGENLS1 27-07-2000'!$R$7:$S$71,2,0))</f>
        <v>500</v>
      </c>
      <c r="D43" s="109">
        <f>IF(ISNA(VLOOKUP($B43,'[2]MENGENLS1 27-07-2000'!$U$7:$V$60,2,0)),0,VLOOKUP($B43,'[2]MENGENLS1 27-07-2000'!$U$7:$V$60,2,0))</f>
        <v>200</v>
      </c>
      <c r="E43" s="109">
        <f>IF(ISNA(VLOOKUP($B43,'[2]MENGENLS1 27-07-2000'!$X$7:$Y$27,2,0)),0,VLOOKUP($B43,'[2]MENGENLS1 27-07-2000'!$X$7:$Y$27,2,0))</f>
        <v>0</v>
      </c>
      <c r="F43" s="109">
        <f>IF(ISNA(VLOOKUP($B43,'[2]MENGENLS1 27-07-2000'!$AA$7:$AB$35,2,0)),0,VLOOKUP($B43,'[2]MENGENLS1 27-07-2000'!$AA$7:$AB$35,2,0))</f>
        <v>0</v>
      </c>
      <c r="G43" s="109">
        <f>IF(ISNA(VLOOKUP($B43,'[2]MENGENLS1 27-07-2000'!$AD$7:$AE$38,2,0)),0,VLOOKUP($B43,'[2]MENGENLS1 27-07-2000'!$AD$7:$AE$38,2,0))</f>
        <v>0</v>
      </c>
      <c r="H43" s="109">
        <f>IF(ISNA(VLOOKUP($B43,'[2]MENGENLS1 27-07-2000'!$AG$7:$AH$20,2,0)),0,VLOOKUP($B43,'[2]MENGENLS1 27-07-2000'!$AG$7:$AH$20,2,0))</f>
        <v>0</v>
      </c>
      <c r="I43" s="109">
        <f>IF(ISNA(VLOOKUP($B43,'[2]MENGENLS1 27-07-2000'!$AJ$7:$AK$38,2,0)),0,VLOOKUP($B43,'[2]MENGENLS1 27-07-2000'!$AJ$7:$AK$38,2,0))</f>
        <v>0</v>
      </c>
      <c r="J43" s="109">
        <f>IF(ISNA(VLOOKUP($B43,'[2]MENGENLS1 27-07-2000'!$AM$7:$AN$38,2,0)),0,VLOOKUP($B43,'[2]MENGENLS1 27-07-2000'!$AM$7:$AN$38,2,0))</f>
        <v>0</v>
      </c>
      <c r="K43" s="109">
        <f>IF(ISNA(VLOOKUP($B43,'[2]MENGENLS1 27-07-2000'!$AP$7:$AQ$12,2,0)),0,VLOOKUP($B43,'[2]MENGENLS1 27-07-2000'!$AP$7:$AQ$12,2,0))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37987</v>
      </c>
      <c r="C44" s="108">
        <f>IF(ISNA(VLOOKUP($B44,'[2]MENGENLS1 27-07-2000'!$R$7:$S$71,2,0)),0,VLOOKUP($B44,'[2]MENGENLS1 27-07-2000'!$R$7:$S$71,2,0))</f>
        <v>-75</v>
      </c>
      <c r="D44" s="109">
        <f>IF(ISNA(VLOOKUP($B44,'[2]MENGENLS1 27-07-2000'!$U$7:$V$60,2,0)),0,VLOOKUP($B44,'[2]MENGENLS1 27-07-2000'!$U$7:$V$60,2,0))</f>
        <v>-25</v>
      </c>
      <c r="E44" s="109">
        <f>IF(ISNA(VLOOKUP($B44,'[2]MENGENLS1 27-07-2000'!$X$7:$Y$27,2,0)),0,VLOOKUP($B44,'[2]MENGENLS1 27-07-2000'!$X$7:$Y$27,2,0))</f>
        <v>0</v>
      </c>
      <c r="F44" s="109">
        <f>IF(ISNA(VLOOKUP($B44,'[2]MENGENLS1 27-07-2000'!$AA$7:$AB$35,2,0)),0,VLOOKUP($B44,'[2]MENGENLS1 27-07-2000'!$AA$7:$AB$35,2,0))</f>
        <v>0</v>
      </c>
      <c r="G44" s="109">
        <f>IF(ISNA(VLOOKUP($B44,'[2]MENGENLS1 27-07-2000'!$AD$7:$AE$38,2,0)),0,VLOOKUP($B44,'[2]MENGENLS1 27-07-2000'!$AD$7:$AE$38,2,0))</f>
        <v>0</v>
      </c>
      <c r="H44" s="109">
        <f>IF(ISNA(VLOOKUP($B44,'[2]MENGENLS1 27-07-2000'!$AG$7:$AH$20,2,0)),0,VLOOKUP($B44,'[2]MENGENLS1 27-07-2000'!$AG$7:$AH$20,2,0))</f>
        <v>0</v>
      </c>
      <c r="I44" s="109">
        <f>IF(ISNA(VLOOKUP($B44,'[2]MENGENLS1 27-07-2000'!$AJ$7:$AK$38,2,0)),0,VLOOKUP($B44,'[2]MENGENLS1 27-07-2000'!$AJ$7:$AK$38,2,0))</f>
        <v>0</v>
      </c>
      <c r="J44" s="109">
        <f>IF(ISNA(VLOOKUP($B44,'[2]MENGENLS1 27-07-2000'!$AM$7:$AN$38,2,0)),0,VLOOKUP($B44,'[2]MENGENLS1 27-07-2000'!$AM$7:$AN$38,2,0))</f>
        <v>0</v>
      </c>
      <c r="K44" s="109">
        <f>IF(ISNA(VLOOKUP($B44,'[2]MENGENLS1 27-07-2000'!$AP$7:$AQ$12,2,0)),0,VLOOKUP($B44,'[2]MENGENLS1 27-07-2000'!$AP$7:$AQ$12,2,0))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38018</v>
      </c>
      <c r="C45" s="108">
        <f>IF(ISNA(VLOOKUP($B45,'[2]MENGENLS1 27-07-2000'!$R$7:$S$71,2,0)),0,VLOOKUP($B45,'[2]MENGENLS1 27-07-2000'!$R$7:$S$71,2,0))</f>
        <v>-100</v>
      </c>
      <c r="D45" s="109">
        <f>IF(ISNA(VLOOKUP($B45,'[2]MENGENLS1 27-07-2000'!$U$7:$V$60,2,0)),0,VLOOKUP($B45,'[2]MENGENLS1 27-07-2000'!$U$7:$V$60,2,0))</f>
        <v>-25</v>
      </c>
      <c r="E45" s="109">
        <f>IF(ISNA(VLOOKUP($B45,'[2]MENGENLS1 27-07-2000'!$X$7:$Y$27,2,0)),0,VLOOKUP($B45,'[2]MENGENLS1 27-07-2000'!$X$7:$Y$27,2,0))</f>
        <v>0</v>
      </c>
      <c r="F45" s="109">
        <f>IF(ISNA(VLOOKUP($B45,'[2]MENGENLS1 27-07-2000'!$AA$7:$AB$35,2,0)),0,VLOOKUP($B45,'[2]MENGENLS1 27-07-2000'!$AA$7:$AB$35,2,0))</f>
        <v>0</v>
      </c>
      <c r="G45" s="109">
        <f>IF(ISNA(VLOOKUP($B45,'[2]MENGENLS1 27-07-2000'!$AD$7:$AE$38,2,0)),0,VLOOKUP($B45,'[2]MENGENLS1 27-07-2000'!$AD$7:$AE$38,2,0))</f>
        <v>0</v>
      </c>
      <c r="H45" s="109">
        <f>IF(ISNA(VLOOKUP($B45,'[2]MENGENLS1 27-07-2000'!$AG$7:$AH$20,2,0)),0,VLOOKUP($B45,'[2]MENGENLS1 27-07-2000'!$AG$7:$AH$20,2,0))</f>
        <v>0</v>
      </c>
      <c r="I45" s="109">
        <f>IF(ISNA(VLOOKUP($B45,'[2]MENGENLS1 27-07-2000'!$AJ$7:$AK$38,2,0)),0,VLOOKUP($B45,'[2]MENGENLS1 27-07-2000'!$AJ$7:$AK$38,2,0))</f>
        <v>0</v>
      </c>
      <c r="J45" s="109">
        <f>IF(ISNA(VLOOKUP($B45,'[2]MENGENLS1 27-07-2000'!$AM$7:$AN$38,2,0)),0,VLOOKUP($B45,'[2]MENGENLS1 27-07-2000'!$AM$7:$AN$38,2,0))</f>
        <v>0</v>
      </c>
      <c r="K45" s="109">
        <f>IF(ISNA(VLOOKUP($B45,'[2]MENGENLS1 27-07-2000'!$AP$7:$AQ$12,2,0)),0,VLOOKUP($B45,'[2]MENGENLS1 27-07-2000'!$AP$7:$AQ$12,2,0))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38047</v>
      </c>
      <c r="C46" s="108">
        <f>IF(ISNA(VLOOKUP($B46,'[2]MENGENLS1 27-07-2000'!$R$7:$S$71,2,0)),0,VLOOKUP($B46,'[2]MENGENLS1 27-07-2000'!$R$7:$S$71,2,0))</f>
        <v>-75</v>
      </c>
      <c r="D46" s="109">
        <f>IF(ISNA(VLOOKUP($B46,'[2]MENGENLS1 27-07-2000'!$U$7:$V$60,2,0)),0,VLOOKUP($B46,'[2]MENGENLS1 27-07-2000'!$U$7:$V$60,2,0))</f>
        <v>-25</v>
      </c>
      <c r="E46" s="109">
        <f>IF(ISNA(VLOOKUP($B46,'[2]MENGENLS1 27-07-2000'!$X$7:$Y$27,2,0)),0,VLOOKUP($B46,'[2]MENGENLS1 27-07-2000'!$X$7:$Y$27,2,0))</f>
        <v>0</v>
      </c>
      <c r="F46" s="109">
        <f>IF(ISNA(VLOOKUP($B46,'[2]MENGENLS1 27-07-2000'!$AA$7:$AB$35,2,0)),0,VLOOKUP($B46,'[2]MENGENLS1 27-07-2000'!$AA$7:$AB$35,2,0))</f>
        <v>0</v>
      </c>
      <c r="G46" s="109">
        <f>IF(ISNA(VLOOKUP($B46,'[2]MENGENLS1 27-07-2000'!$AD$7:$AE$38,2,0)),0,VLOOKUP($B46,'[2]MENGENLS1 27-07-2000'!$AD$7:$AE$38,2,0))</f>
        <v>0</v>
      </c>
      <c r="H46" s="109">
        <f>IF(ISNA(VLOOKUP($B46,'[2]MENGENLS1 27-07-2000'!$AG$7:$AH$20,2,0)),0,VLOOKUP($B46,'[2]MENGENLS1 27-07-2000'!$AG$7:$AH$20,2,0))</f>
        <v>0</v>
      </c>
      <c r="I46" s="109">
        <f>IF(ISNA(VLOOKUP($B46,'[2]MENGENLS1 27-07-2000'!$AJ$7:$AK$38,2,0)),0,VLOOKUP($B46,'[2]MENGENLS1 27-07-2000'!$AJ$7:$AK$38,2,0))</f>
        <v>0</v>
      </c>
      <c r="J46" s="109">
        <f>IF(ISNA(VLOOKUP($B46,'[2]MENGENLS1 27-07-2000'!$AM$7:$AN$38,2,0)),0,VLOOKUP($B46,'[2]MENGENLS1 27-07-2000'!$AM$7:$AN$38,2,0))</f>
        <v>0</v>
      </c>
      <c r="K46" s="109">
        <f>IF(ISNA(VLOOKUP($B46,'[2]MENGENLS1 27-07-2000'!$AP$7:$AQ$12,2,0)),0,VLOOKUP($B46,'[2]MENGENLS1 27-07-2000'!$AP$7:$AQ$12,2,0))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38078</v>
      </c>
      <c r="C47" s="108">
        <f>IF(ISNA(VLOOKUP($B47,'[2]MENGENLS1 27-07-2000'!$R$7:$S$71,2,0)),0,VLOOKUP($B47,'[2]MENGENLS1 27-07-2000'!$R$7:$S$71,2,0))</f>
        <v>-100</v>
      </c>
      <c r="D47" s="109">
        <f>IF(ISNA(VLOOKUP($B47,'[2]MENGENLS1 27-07-2000'!$U$7:$V$60,2,0)),0,VLOOKUP($B47,'[2]MENGENLS1 27-07-2000'!$U$7:$V$60,2,0))</f>
        <v>-25</v>
      </c>
      <c r="E47" s="109">
        <f>IF(ISNA(VLOOKUP($B47,'[2]MENGENLS1 27-07-2000'!$X$7:$Y$27,2,0)),0,VLOOKUP($B47,'[2]MENGENLS1 27-07-2000'!$X$7:$Y$27,2,0))</f>
        <v>0</v>
      </c>
      <c r="F47" s="109">
        <f>IF(ISNA(VLOOKUP($B47,'[2]MENGENLS1 27-07-2000'!$AA$7:$AB$35,2,0)),0,VLOOKUP($B47,'[2]MENGENLS1 27-07-2000'!$AA$7:$AB$35,2,0))</f>
        <v>0</v>
      </c>
      <c r="G47" s="109">
        <f>IF(ISNA(VLOOKUP($B47,'[2]MENGENLS1 27-07-2000'!$AD$7:$AE$38,2,0)),0,VLOOKUP($B47,'[2]MENGENLS1 27-07-2000'!$AD$7:$AE$38,2,0))</f>
        <v>0</v>
      </c>
      <c r="H47" s="109">
        <f>IF(ISNA(VLOOKUP($B47,'[2]MENGENLS1 27-07-2000'!$AG$7:$AH$20,2,0)),0,VLOOKUP($B47,'[2]MENGENLS1 27-07-2000'!$AG$7:$AH$20,2,0))</f>
        <v>0</v>
      </c>
      <c r="I47" s="109">
        <f>IF(ISNA(VLOOKUP($B47,'[2]MENGENLS1 27-07-2000'!$AJ$7:$AK$38,2,0)),0,VLOOKUP($B47,'[2]MENGENLS1 27-07-2000'!$AJ$7:$AK$38,2,0))</f>
        <v>0</v>
      </c>
      <c r="J47" s="109">
        <f>IF(ISNA(VLOOKUP($B47,'[2]MENGENLS1 27-07-2000'!$AM$7:$AN$38,2,0)),0,VLOOKUP($B47,'[2]MENGENLS1 27-07-2000'!$AM$7:$AN$38,2,0))</f>
        <v>0</v>
      </c>
      <c r="K47" s="109">
        <f>IF(ISNA(VLOOKUP($B47,'[2]MENGENLS1 27-07-2000'!$AP$7:$AQ$12,2,0)),0,VLOOKUP($B47,'[2]MENGENLS1 27-07-2000'!$AP$7:$AQ$12,2,0))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38108</v>
      </c>
      <c r="C48" s="108">
        <f>IF(ISNA(VLOOKUP($B48,'[2]MENGENLS1 27-07-2000'!$R$7:$S$71,2,0)),0,VLOOKUP($B48,'[2]MENGENLS1 27-07-2000'!$R$7:$S$71,2,0))</f>
        <v>-75</v>
      </c>
      <c r="D48" s="109">
        <f>IF(ISNA(VLOOKUP($B48,'[2]MENGENLS1 27-07-2000'!$U$7:$V$60,2,0)),0,VLOOKUP($B48,'[2]MENGENLS1 27-07-2000'!$U$7:$V$60,2,0))</f>
        <v>-25</v>
      </c>
      <c r="E48" s="109">
        <f>IF(ISNA(VLOOKUP($B48,'[2]MENGENLS1 27-07-2000'!$X$7:$Y$27,2,0)),0,VLOOKUP($B48,'[2]MENGENLS1 27-07-2000'!$X$7:$Y$27,2,0))</f>
        <v>0</v>
      </c>
      <c r="F48" s="109">
        <f>IF(ISNA(VLOOKUP($B48,'[2]MENGENLS1 27-07-2000'!$AA$7:$AB$35,2,0)),0,VLOOKUP($B48,'[2]MENGENLS1 27-07-2000'!$AA$7:$AB$35,2,0))</f>
        <v>0</v>
      </c>
      <c r="G48" s="109">
        <f>IF(ISNA(VLOOKUP($B48,'[2]MENGENLS1 27-07-2000'!$AD$7:$AE$38,2,0)),0,VLOOKUP($B48,'[2]MENGENLS1 27-07-2000'!$AD$7:$AE$38,2,0))</f>
        <v>0</v>
      </c>
      <c r="H48" s="109">
        <f>IF(ISNA(VLOOKUP($B48,'[2]MENGENLS1 27-07-2000'!$AG$7:$AH$20,2,0)),0,VLOOKUP($B48,'[2]MENGENLS1 27-07-2000'!$AG$7:$AH$20,2,0))</f>
        <v>0</v>
      </c>
      <c r="I48" s="109">
        <f>IF(ISNA(VLOOKUP($B48,'[2]MENGENLS1 27-07-2000'!$AJ$7:$AK$38,2,0)),0,VLOOKUP($B48,'[2]MENGENLS1 27-07-2000'!$AJ$7:$AK$38,2,0))</f>
        <v>0</v>
      </c>
      <c r="J48" s="109">
        <f>IF(ISNA(VLOOKUP($B48,'[2]MENGENLS1 27-07-2000'!$AM$7:$AN$38,2,0)),0,VLOOKUP($B48,'[2]MENGENLS1 27-07-2000'!$AM$7:$AN$38,2,0))</f>
        <v>0</v>
      </c>
      <c r="K48" s="109">
        <f>IF(ISNA(VLOOKUP($B48,'[2]MENGENLS1 27-07-2000'!$AP$7:$AQ$12,2,0)),0,VLOOKUP($B48,'[2]MENGENLS1 27-07-2000'!$AP$7:$AQ$12,2,0))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38139</v>
      </c>
      <c r="C49" s="108">
        <f>IF(ISNA(VLOOKUP($B49,'[2]MENGENLS1 27-07-2000'!$R$7:$S$71,2,0)),0,VLOOKUP($B49,'[2]MENGENLS1 27-07-2000'!$R$7:$S$71,2,0))</f>
        <v>-100</v>
      </c>
      <c r="D49" s="109">
        <f>IF(ISNA(VLOOKUP($B49,'[2]MENGENLS1 27-07-2000'!$U$7:$V$60,2,0)),0,VLOOKUP($B49,'[2]MENGENLS1 27-07-2000'!$U$7:$V$60,2,0))</f>
        <v>-25</v>
      </c>
      <c r="E49" s="109">
        <f>IF(ISNA(VLOOKUP($B49,'[2]MENGENLS1 27-07-2000'!$X$7:$Y$27,2,0)),0,VLOOKUP($B49,'[2]MENGENLS1 27-07-2000'!$X$7:$Y$27,2,0))</f>
        <v>0</v>
      </c>
      <c r="F49" s="109">
        <f>IF(ISNA(VLOOKUP($B49,'[2]MENGENLS1 27-07-2000'!$AA$7:$AB$35,2,0)),0,VLOOKUP($B49,'[2]MENGENLS1 27-07-2000'!$AA$7:$AB$35,2,0))</f>
        <v>0</v>
      </c>
      <c r="G49" s="109">
        <f>IF(ISNA(VLOOKUP($B49,'[2]MENGENLS1 27-07-2000'!$AD$7:$AE$38,2,0)),0,VLOOKUP($B49,'[2]MENGENLS1 27-07-2000'!$AD$7:$AE$38,2,0))</f>
        <v>0</v>
      </c>
      <c r="H49" s="109">
        <f>IF(ISNA(VLOOKUP($B49,'[2]MENGENLS1 27-07-2000'!$AG$7:$AH$20,2,0)),0,VLOOKUP($B49,'[2]MENGENLS1 27-07-2000'!$AG$7:$AH$20,2,0))</f>
        <v>0</v>
      </c>
      <c r="I49" s="109">
        <f>IF(ISNA(VLOOKUP($B49,'[2]MENGENLS1 27-07-2000'!$AJ$7:$AK$38,2,0)),0,VLOOKUP($B49,'[2]MENGENLS1 27-07-2000'!$AJ$7:$AK$38,2,0))</f>
        <v>0</v>
      </c>
      <c r="J49" s="109">
        <f>IF(ISNA(VLOOKUP($B49,'[2]MENGENLS1 27-07-2000'!$AM$7:$AN$38,2,0)),0,VLOOKUP($B49,'[2]MENGENLS1 27-07-2000'!$AM$7:$AN$38,2,0))</f>
        <v>0</v>
      </c>
      <c r="K49" s="109">
        <f>IF(ISNA(VLOOKUP($B49,'[2]MENGENLS1 27-07-2000'!$AP$7:$AQ$12,2,0)),0,VLOOKUP($B49,'[2]MENGENLS1 27-07-2000'!$AP$7:$AQ$12,2,0))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38169</v>
      </c>
      <c r="C50" s="108">
        <f>IF(ISNA(VLOOKUP($B50,'[2]MENGENLS1 27-07-2000'!$R$7:$S$71,2,0)),0,VLOOKUP($B50,'[2]MENGENLS1 27-07-2000'!$R$7:$S$71,2,0))</f>
        <v>-75</v>
      </c>
      <c r="D50" s="109">
        <f>IF(ISNA(VLOOKUP($B50,'[2]MENGENLS1 27-07-2000'!$U$7:$V$60,2,0)),0,VLOOKUP($B50,'[2]MENGENLS1 27-07-2000'!$U$7:$V$60,2,0))</f>
        <v>-25</v>
      </c>
      <c r="E50" s="109">
        <f>IF(ISNA(VLOOKUP($B50,'[2]MENGENLS1 27-07-2000'!$X$7:$Y$27,2,0)),0,VLOOKUP($B50,'[2]MENGENLS1 27-07-2000'!$X$7:$Y$27,2,0))</f>
        <v>0</v>
      </c>
      <c r="F50" s="109">
        <f>IF(ISNA(VLOOKUP($B50,'[2]MENGENLS1 27-07-2000'!$AA$7:$AB$35,2,0)),0,VLOOKUP($B50,'[2]MENGENLS1 27-07-2000'!$AA$7:$AB$35,2,0))</f>
        <v>0</v>
      </c>
      <c r="G50" s="109">
        <f>IF(ISNA(VLOOKUP($B50,'[2]MENGENLS1 27-07-2000'!$AD$7:$AE$38,2,0)),0,VLOOKUP($B50,'[2]MENGENLS1 27-07-2000'!$AD$7:$AE$38,2,0))</f>
        <v>0</v>
      </c>
      <c r="H50" s="109">
        <f>IF(ISNA(VLOOKUP($B50,'[2]MENGENLS1 27-07-2000'!$AG$7:$AH$20,2,0)),0,VLOOKUP($B50,'[2]MENGENLS1 27-07-2000'!$AG$7:$AH$20,2,0))</f>
        <v>0</v>
      </c>
      <c r="I50" s="109">
        <f>IF(ISNA(VLOOKUP($B50,'[2]MENGENLS1 27-07-2000'!$AJ$7:$AK$38,2,0)),0,VLOOKUP($B50,'[2]MENGENLS1 27-07-2000'!$AJ$7:$AK$38,2,0))</f>
        <v>0</v>
      </c>
      <c r="J50" s="109">
        <f>IF(ISNA(VLOOKUP($B50,'[2]MENGENLS1 27-07-2000'!$AM$7:$AN$38,2,0)),0,VLOOKUP($B50,'[2]MENGENLS1 27-07-2000'!$AM$7:$AN$38,2,0))</f>
        <v>0</v>
      </c>
      <c r="K50" s="109">
        <f>IF(ISNA(VLOOKUP($B50,'[2]MENGENLS1 27-07-2000'!$AP$7:$AQ$12,2,0)),0,VLOOKUP($B50,'[2]MENGENLS1 27-07-2000'!$AP$7:$AQ$12,2,0))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38200</v>
      </c>
      <c r="C51" s="108">
        <f>IF(ISNA(VLOOKUP($B51,'[2]MENGENLS1 27-07-2000'!$R$7:$S$71,2,0)),0,VLOOKUP($B51,'[2]MENGENLS1 27-07-2000'!$R$7:$S$71,2,0))</f>
        <v>-25</v>
      </c>
      <c r="D51" s="109">
        <f>IF(ISNA(VLOOKUP($B51,'[2]MENGENLS1 27-07-2000'!$U$7:$V$60,2,0)),0,VLOOKUP($B51,'[2]MENGENLS1 27-07-2000'!$U$7:$V$60,2,0))</f>
        <v>-25</v>
      </c>
      <c r="E51" s="109">
        <f>IF(ISNA(VLOOKUP($B51,'[2]MENGENLS1 27-07-2000'!$X$7:$Y$27,2,0)),0,VLOOKUP($B51,'[2]MENGENLS1 27-07-2000'!$X$7:$Y$27,2,0))</f>
        <v>0</v>
      </c>
      <c r="F51" s="109">
        <f>IF(ISNA(VLOOKUP($B51,'[2]MENGENLS1 27-07-2000'!$AA$7:$AB$35,2,0)),0,VLOOKUP($B51,'[2]MENGENLS1 27-07-2000'!$AA$7:$AB$35,2,0))</f>
        <v>0</v>
      </c>
      <c r="G51" s="109">
        <f>IF(ISNA(VLOOKUP($B51,'[2]MENGENLS1 27-07-2000'!$AD$7:$AE$38,2,0)),0,VLOOKUP($B51,'[2]MENGENLS1 27-07-2000'!$AD$7:$AE$38,2,0))</f>
        <v>0</v>
      </c>
      <c r="H51" s="109">
        <f>IF(ISNA(VLOOKUP($B51,'[2]MENGENLS1 27-07-2000'!$AG$7:$AH$20,2,0)),0,VLOOKUP($B51,'[2]MENGENLS1 27-07-2000'!$AG$7:$AH$20,2,0))</f>
        <v>0</v>
      </c>
      <c r="I51" s="109">
        <f>IF(ISNA(VLOOKUP($B51,'[2]MENGENLS1 27-07-2000'!$AJ$7:$AK$38,2,0)),0,VLOOKUP($B51,'[2]MENGENLS1 27-07-2000'!$AJ$7:$AK$38,2,0))</f>
        <v>0</v>
      </c>
      <c r="J51" s="109">
        <f>IF(ISNA(VLOOKUP($B51,'[2]MENGENLS1 27-07-2000'!$AM$7:$AN$38,2,0)),0,VLOOKUP($B51,'[2]MENGENLS1 27-07-2000'!$AM$7:$AN$38,2,0))</f>
        <v>0</v>
      </c>
      <c r="K51" s="109">
        <f>IF(ISNA(VLOOKUP($B51,'[2]MENGENLS1 27-07-2000'!$AP$7:$AQ$12,2,0)),0,VLOOKUP($B51,'[2]MENGENLS1 27-07-2000'!$AP$7:$AQ$12,2,0))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5">
      <c r="B52" s="107">
        <f t="shared" ref="B52:B67" si="3">DATE(YEAR(B51),MONTH(B51)+1,1)</f>
        <v>38231</v>
      </c>
      <c r="C52" s="108">
        <f>IF(ISNA(VLOOKUP($B52,'[2]MENGENLS1 27-07-2000'!$R$7:$S$71,2,0)),0,VLOOKUP($B52,'[2]MENGENLS1 27-07-2000'!$R$7:$S$71,2,0))</f>
        <v>0</v>
      </c>
      <c r="D52" s="109">
        <f>IF(ISNA(VLOOKUP($B52,'[2]MENGENLS1 27-07-2000'!$U$7:$V$60,2,0)),0,VLOOKUP($B52,'[2]MENGENLS1 27-07-2000'!$U$7:$V$60,2,0))</f>
        <v>-25</v>
      </c>
      <c r="E52" s="109">
        <f>IF(ISNA(VLOOKUP($B52,'[2]MENGENLS1 27-07-2000'!$X$7:$Y$27,2,0)),0,VLOOKUP($B52,'[2]MENGENLS1 27-07-2000'!$X$7:$Y$27,2,0))</f>
        <v>0</v>
      </c>
      <c r="F52" s="109">
        <f>IF(ISNA(VLOOKUP($B52,'[2]MENGENLS1 27-07-2000'!$AA$7:$AB$35,2,0)),0,VLOOKUP($B52,'[2]MENGENLS1 27-07-2000'!$AA$7:$AB$35,2,0))</f>
        <v>0</v>
      </c>
      <c r="G52" s="109">
        <f>IF(ISNA(VLOOKUP($B52,'[2]MENGENLS1 27-07-2000'!$AD$7:$AE$38,2,0)),0,VLOOKUP($B52,'[2]MENGENLS1 27-07-2000'!$AD$7:$AE$38,2,0))</f>
        <v>0</v>
      </c>
      <c r="H52" s="109">
        <f>IF(ISNA(VLOOKUP($B52,'[2]MENGENLS1 27-07-2000'!$AG$7:$AH$20,2,0)),0,VLOOKUP($B52,'[2]MENGENLS1 27-07-2000'!$AG$7:$AH$20,2,0))</f>
        <v>0</v>
      </c>
      <c r="I52" s="109">
        <f>IF(ISNA(VLOOKUP($B52,'[2]MENGENLS1 27-07-2000'!$AJ$7:$AK$38,2,0)),0,VLOOKUP($B52,'[2]MENGENLS1 27-07-2000'!$AJ$7:$AK$38,2,0))</f>
        <v>0</v>
      </c>
      <c r="J52" s="109">
        <f>IF(ISNA(VLOOKUP($B52,'[2]MENGENLS1 27-07-2000'!$AM$7:$AN$38,2,0)),0,VLOOKUP($B52,'[2]MENGENLS1 27-07-2000'!$AM$7:$AN$38,2,0))</f>
        <v>0</v>
      </c>
      <c r="K52" s="109">
        <f>IF(ISNA(VLOOKUP($B52,'[2]MENGENLS1 27-07-2000'!$AP$7:$AQ$12,2,0)),0,VLOOKUP($B52,'[2]MENGENLS1 27-07-2000'!$AP$7:$AQ$12,2,0))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5">
      <c r="B53" s="107">
        <f t="shared" si="3"/>
        <v>38261</v>
      </c>
      <c r="C53" s="108">
        <f>IF(ISNA(VLOOKUP($B53,'[2]MENGENLS1 27-07-2000'!$R$7:$S$71,2,0)),0,VLOOKUP($B53,'[2]MENGENLS1 27-07-2000'!$R$7:$S$71,2,0))</f>
        <v>-25</v>
      </c>
      <c r="D53" s="109">
        <f>IF(ISNA(VLOOKUP($B53,'[2]MENGENLS1 27-07-2000'!$U$7:$V$60,2,0)),0,VLOOKUP($B53,'[2]MENGENLS1 27-07-2000'!$U$7:$V$60,2,0))</f>
        <v>-25</v>
      </c>
      <c r="E53" s="109">
        <f>IF(ISNA(VLOOKUP($B53,'[2]MENGENLS1 27-07-2000'!$X$7:$Y$27,2,0)),0,VLOOKUP($B53,'[2]MENGENLS1 27-07-2000'!$X$7:$Y$27,2,0))</f>
        <v>0</v>
      </c>
      <c r="F53" s="109">
        <f>IF(ISNA(VLOOKUP($B53,'[2]MENGENLS1 27-07-2000'!$AA$7:$AB$35,2,0)),0,VLOOKUP($B53,'[2]MENGENLS1 27-07-2000'!$AA$7:$AB$35,2,0))</f>
        <v>0</v>
      </c>
      <c r="G53" s="109">
        <f>IF(ISNA(VLOOKUP($B53,'[2]MENGENLS1 27-07-2000'!$AD$7:$AE$38,2,0)),0,VLOOKUP($B53,'[2]MENGENLS1 27-07-2000'!$AD$7:$AE$38,2,0))</f>
        <v>0</v>
      </c>
      <c r="H53" s="109">
        <f>IF(ISNA(VLOOKUP($B53,'[2]MENGENLS1 27-07-2000'!$AG$7:$AH$20,2,0)),0,VLOOKUP($B53,'[2]MENGENLS1 27-07-2000'!$AG$7:$AH$20,2,0))</f>
        <v>0</v>
      </c>
      <c r="I53" s="109">
        <f>IF(ISNA(VLOOKUP($B53,'[2]MENGENLS1 27-07-2000'!$AJ$7:$AK$38,2,0)),0,VLOOKUP($B53,'[2]MENGENLS1 27-07-2000'!$AJ$7:$AK$38,2,0))</f>
        <v>0</v>
      </c>
      <c r="J53" s="109">
        <f>IF(ISNA(VLOOKUP($B53,'[2]MENGENLS1 27-07-2000'!$AM$7:$AN$38,2,0)),0,VLOOKUP($B53,'[2]MENGENLS1 27-07-2000'!$AM$7:$AN$38,2,0))</f>
        <v>0</v>
      </c>
      <c r="K53" s="109">
        <f>IF(ISNA(VLOOKUP($B53,'[2]MENGENLS1 27-07-2000'!$AP$7:$AQ$12,2,0)),0,VLOOKUP($B53,'[2]MENGENLS1 27-07-2000'!$AP$7:$AQ$12,2,0))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5">
      <c r="B54" s="107">
        <f t="shared" si="3"/>
        <v>38292</v>
      </c>
      <c r="C54" s="108">
        <f>IF(ISNA(VLOOKUP($B54,'[2]MENGENLS1 27-07-2000'!$R$7:$S$71,2,0)),0,VLOOKUP($B54,'[2]MENGENLS1 27-07-2000'!$R$7:$S$71,2,0))</f>
        <v>0</v>
      </c>
      <c r="D54" s="109">
        <f>IF(ISNA(VLOOKUP($B54,'[2]MENGENLS1 27-07-2000'!$U$7:$V$60,2,0)),0,VLOOKUP($B54,'[2]MENGENLS1 27-07-2000'!$U$7:$V$60,2,0))</f>
        <v>-25</v>
      </c>
      <c r="E54" s="109">
        <f>IF(ISNA(VLOOKUP($B54,'[2]MENGENLS1 27-07-2000'!$X$7:$Y$27,2,0)),0,VLOOKUP($B54,'[2]MENGENLS1 27-07-2000'!$X$7:$Y$27,2,0))</f>
        <v>0</v>
      </c>
      <c r="F54" s="109">
        <f>IF(ISNA(VLOOKUP($B54,'[2]MENGENLS1 27-07-2000'!$AA$7:$AB$35,2,0)),0,VLOOKUP($B54,'[2]MENGENLS1 27-07-2000'!$AA$7:$AB$35,2,0))</f>
        <v>0</v>
      </c>
      <c r="G54" s="109">
        <f>IF(ISNA(VLOOKUP($B54,'[2]MENGENLS1 27-07-2000'!$AD$7:$AE$38,2,0)),0,VLOOKUP($B54,'[2]MENGENLS1 27-07-2000'!$AD$7:$AE$38,2,0))</f>
        <v>0</v>
      </c>
      <c r="H54" s="109">
        <f>IF(ISNA(VLOOKUP($B54,'[2]MENGENLS1 27-07-2000'!$AG$7:$AH$20,2,0)),0,VLOOKUP($B54,'[2]MENGENLS1 27-07-2000'!$AG$7:$AH$20,2,0))</f>
        <v>0</v>
      </c>
      <c r="I54" s="109">
        <f>IF(ISNA(VLOOKUP($B54,'[2]MENGENLS1 27-07-2000'!$AJ$7:$AK$38,2,0)),0,VLOOKUP($B54,'[2]MENGENLS1 27-07-2000'!$AJ$7:$AK$38,2,0))</f>
        <v>0</v>
      </c>
      <c r="J54" s="109">
        <f>IF(ISNA(VLOOKUP($B54,'[2]MENGENLS1 27-07-2000'!$AM$7:$AN$38,2,0)),0,VLOOKUP($B54,'[2]MENGENLS1 27-07-2000'!$AM$7:$AN$38,2,0))</f>
        <v>0</v>
      </c>
      <c r="K54" s="109">
        <f>IF(ISNA(VLOOKUP($B54,'[2]MENGENLS1 27-07-2000'!$AP$7:$AQ$12,2,0)),0,VLOOKUP($B54,'[2]MENGENLS1 27-07-2000'!$AP$7:$AQ$12,2,0))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5">
      <c r="B55" s="107">
        <f t="shared" si="3"/>
        <v>38322</v>
      </c>
      <c r="C55" s="108">
        <f>IF(ISNA(VLOOKUP($B55,'[2]MENGENLS1 27-07-2000'!$R$7:$S$71,2,0)),0,VLOOKUP($B55,'[2]MENGENLS1 27-07-2000'!$R$7:$S$71,2,0))</f>
        <v>-15025</v>
      </c>
      <c r="D55" s="109">
        <f>IF(ISNA(VLOOKUP($B55,'[2]MENGENLS1 27-07-2000'!$U$7:$V$60,2,0)),0,VLOOKUP($B55,'[2]MENGENLS1 27-07-2000'!$U$7:$V$60,2,0))</f>
        <v>-25</v>
      </c>
      <c r="E55" s="109">
        <f>IF(ISNA(VLOOKUP($B55,'[2]MENGENLS1 27-07-2000'!$X$7:$Y$27,2,0)),0,VLOOKUP($B55,'[2]MENGENLS1 27-07-2000'!$X$7:$Y$27,2,0))</f>
        <v>0</v>
      </c>
      <c r="F55" s="109">
        <f>IF(ISNA(VLOOKUP($B55,'[2]MENGENLS1 27-07-2000'!$AA$7:$AB$35,2,0)),0,VLOOKUP($B55,'[2]MENGENLS1 27-07-2000'!$AA$7:$AB$35,2,0))</f>
        <v>0</v>
      </c>
      <c r="G55" s="109">
        <f>IF(ISNA(VLOOKUP($B55,'[2]MENGENLS1 27-07-2000'!$AD$7:$AE$38,2,0)),0,VLOOKUP($B55,'[2]MENGENLS1 27-07-2000'!$AD$7:$AE$38,2,0))</f>
        <v>0</v>
      </c>
      <c r="H55" s="109">
        <f>IF(ISNA(VLOOKUP($B55,'[2]MENGENLS1 27-07-2000'!$AG$7:$AH$20,2,0)),0,VLOOKUP($B55,'[2]MENGENLS1 27-07-2000'!$AG$7:$AH$20,2,0))</f>
        <v>0</v>
      </c>
      <c r="I55" s="109">
        <f>IF(ISNA(VLOOKUP($B55,'[2]MENGENLS1 27-07-2000'!$AJ$7:$AK$38,2,0)),0,VLOOKUP($B55,'[2]MENGENLS1 27-07-2000'!$AJ$7:$AK$38,2,0))</f>
        <v>0</v>
      </c>
      <c r="J55" s="109">
        <f>IF(ISNA(VLOOKUP($B55,'[2]MENGENLS1 27-07-2000'!$AM$7:$AN$38,2,0)),0,VLOOKUP($B55,'[2]MENGENLS1 27-07-2000'!$AM$7:$AN$38,2,0))</f>
        <v>0</v>
      </c>
      <c r="K55" s="109">
        <f>IF(ISNA(VLOOKUP($B55,'[2]MENGENLS1 27-07-2000'!$AP$7:$AQ$12,2,0)),0,VLOOKUP($B55,'[2]MENGENLS1 27-07-2000'!$AP$7:$AQ$12,2,0))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5">
      <c r="B56" s="107">
        <f t="shared" si="3"/>
        <v>38353</v>
      </c>
      <c r="C56" s="108">
        <f>IF(ISNA(VLOOKUP($B56,'[2]MENGENLS1 27-07-2000'!$R$7:$S$71,2,0)),0,VLOOKUP($B56,'[2]MENGENLS1 27-07-2000'!$R$7:$S$71,2,0))</f>
        <v>0</v>
      </c>
      <c r="D56" s="109">
        <f>IF(ISNA(VLOOKUP($B56,'[2]MENGENLS1 27-07-2000'!$U$7:$V$60,2,0)),0,VLOOKUP($B56,'[2]MENGENLS1 27-07-2000'!$U$7:$V$60,2,0))</f>
        <v>0</v>
      </c>
      <c r="E56" s="109">
        <f>IF(ISNA(VLOOKUP($B56,'[2]MENGENLS1 27-07-2000'!$X$7:$Y$27,2,0)),0,VLOOKUP($B56,'[2]MENGENLS1 27-07-2000'!$X$7:$Y$27,2,0))</f>
        <v>0</v>
      </c>
      <c r="F56" s="109">
        <f>IF(ISNA(VLOOKUP($B56,'[2]MENGENLS1 27-07-2000'!$AA$7:$AB$35,2,0)),0,VLOOKUP($B56,'[2]MENGENLS1 27-07-2000'!$AA$7:$AB$35,2,0))</f>
        <v>0</v>
      </c>
      <c r="G56" s="109">
        <f>IF(ISNA(VLOOKUP($B56,'[2]MENGENLS1 27-07-2000'!$AD$7:$AE$38,2,0)),0,VLOOKUP($B56,'[2]MENGENLS1 27-07-2000'!$AD$7:$AE$38,2,0))</f>
        <v>0</v>
      </c>
      <c r="H56" s="109">
        <f>IF(ISNA(VLOOKUP($B56,'[2]MENGENLS1 27-07-2000'!$AG$7:$AH$20,2,0)),0,VLOOKUP($B56,'[2]MENGENLS1 27-07-2000'!$AG$7:$AH$20,2,0))</f>
        <v>0</v>
      </c>
      <c r="I56" s="109">
        <f>IF(ISNA(VLOOKUP($B56,'[2]MENGENLS1 27-07-2000'!$AJ$7:$AK$38,2,0)),0,VLOOKUP($B56,'[2]MENGENLS1 27-07-2000'!$AJ$7:$AK$38,2,0))</f>
        <v>0</v>
      </c>
      <c r="J56" s="109">
        <f>IF(ISNA(VLOOKUP($B56,'[2]MENGENLS1 27-07-2000'!$AM$7:$AN$38,2,0)),0,VLOOKUP($B56,'[2]MENGENLS1 27-07-2000'!$AM$7:$AN$38,2,0))</f>
        <v>0</v>
      </c>
      <c r="K56" s="109">
        <f>IF(ISNA(VLOOKUP($B56,'[2]MENGENLS1 27-07-2000'!$AP$7:$AQ$12,2,0)),0,VLOOKUP($B56,'[2]MENGENLS1 27-07-2000'!$AP$7:$AQ$12,2,0))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5">
      <c r="B57" s="107">
        <f t="shared" si="3"/>
        <v>38384</v>
      </c>
      <c r="C57" s="108">
        <f>IF(ISNA(VLOOKUP($B57,'[2]MENGENLS1 27-07-2000'!$R$7:$S$71,2,0)),0,VLOOKUP($B57,'[2]MENGENLS1 27-07-2000'!$R$7:$S$71,2,0))</f>
        <v>-25</v>
      </c>
      <c r="D57" s="109">
        <f>IF(ISNA(VLOOKUP($B57,'[2]MENGENLS1 27-07-2000'!$U$7:$V$60,2,0)),0,VLOOKUP($B57,'[2]MENGENLS1 27-07-2000'!$U$7:$V$60,2,0))</f>
        <v>0</v>
      </c>
      <c r="E57" s="109">
        <f>IF(ISNA(VLOOKUP($B57,'[2]MENGENLS1 27-07-2000'!$X$7:$Y$27,2,0)),0,VLOOKUP($B57,'[2]MENGENLS1 27-07-2000'!$X$7:$Y$27,2,0))</f>
        <v>0</v>
      </c>
      <c r="F57" s="109">
        <f>IF(ISNA(VLOOKUP($B57,'[2]MENGENLS1 27-07-2000'!$AA$7:$AB$35,2,0)),0,VLOOKUP($B57,'[2]MENGENLS1 27-07-2000'!$AA$7:$AB$35,2,0))</f>
        <v>0</v>
      </c>
      <c r="G57" s="109">
        <f>IF(ISNA(VLOOKUP($B57,'[2]MENGENLS1 27-07-2000'!$AD$7:$AE$38,2,0)),0,VLOOKUP($B57,'[2]MENGENLS1 27-07-2000'!$AD$7:$AE$38,2,0))</f>
        <v>0</v>
      </c>
      <c r="H57" s="109">
        <f>IF(ISNA(VLOOKUP($B57,'[2]MENGENLS1 27-07-2000'!$AG$7:$AH$20,2,0)),0,VLOOKUP($B57,'[2]MENGENLS1 27-07-2000'!$AG$7:$AH$20,2,0))</f>
        <v>0</v>
      </c>
      <c r="I57" s="109">
        <f>IF(ISNA(VLOOKUP($B57,'[2]MENGENLS1 27-07-2000'!$AJ$7:$AK$38,2,0)),0,VLOOKUP($B57,'[2]MENGENLS1 27-07-2000'!$AJ$7:$AK$38,2,0))</f>
        <v>0</v>
      </c>
      <c r="J57" s="109">
        <f>IF(ISNA(VLOOKUP($B57,'[2]MENGENLS1 27-07-2000'!$AM$7:$AN$38,2,0)),0,VLOOKUP($B57,'[2]MENGENLS1 27-07-2000'!$AM$7:$AN$38,2,0))</f>
        <v>0</v>
      </c>
      <c r="K57" s="109">
        <f>IF(ISNA(VLOOKUP($B57,'[2]MENGENLS1 27-07-2000'!$AP$7:$AQ$12,2,0)),0,VLOOKUP($B57,'[2]MENGENLS1 27-07-2000'!$AP$7:$AQ$12,2,0))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5">
      <c r="B58" s="107">
        <f t="shared" si="3"/>
        <v>38412</v>
      </c>
      <c r="C58" s="108">
        <f>IF(ISNA(VLOOKUP($B58,'[2]MENGENLS1 27-07-2000'!$R$7:$S$71,2,0)),0,VLOOKUP($B58,'[2]MENGENLS1 27-07-2000'!$R$7:$S$71,2,0))</f>
        <v>0</v>
      </c>
      <c r="D58" s="109">
        <f>IF(ISNA(VLOOKUP($B58,'[2]MENGENLS1 27-07-2000'!$U$7:$V$60,2,0)),0,VLOOKUP($B58,'[2]MENGENLS1 27-07-2000'!$U$7:$V$60,2,0))</f>
        <v>0</v>
      </c>
      <c r="E58" s="109">
        <f>IF(ISNA(VLOOKUP($B58,'[2]MENGENLS1 27-07-2000'!$X$7:$Y$27,2,0)),0,VLOOKUP($B58,'[2]MENGENLS1 27-07-2000'!$X$7:$Y$27,2,0))</f>
        <v>0</v>
      </c>
      <c r="F58" s="109">
        <f>IF(ISNA(VLOOKUP($B58,'[2]MENGENLS1 27-07-2000'!$AA$7:$AB$35,2,0)),0,VLOOKUP($B58,'[2]MENGENLS1 27-07-2000'!$AA$7:$AB$35,2,0))</f>
        <v>0</v>
      </c>
      <c r="G58" s="109">
        <f>IF(ISNA(VLOOKUP($B58,'[2]MENGENLS1 27-07-2000'!$AD$7:$AE$38,2,0)),0,VLOOKUP($B58,'[2]MENGENLS1 27-07-2000'!$AD$7:$AE$38,2,0))</f>
        <v>0</v>
      </c>
      <c r="H58" s="109">
        <f>IF(ISNA(VLOOKUP($B58,'[2]MENGENLS1 27-07-2000'!$AG$7:$AH$20,2,0)),0,VLOOKUP($B58,'[2]MENGENLS1 27-07-2000'!$AG$7:$AH$20,2,0))</f>
        <v>0</v>
      </c>
      <c r="I58" s="109">
        <f>IF(ISNA(VLOOKUP($B58,'[2]MENGENLS1 27-07-2000'!$AJ$7:$AK$38,2,0)),0,VLOOKUP($B58,'[2]MENGENLS1 27-07-2000'!$AJ$7:$AK$38,2,0))</f>
        <v>0</v>
      </c>
      <c r="J58" s="109">
        <f>IF(ISNA(VLOOKUP($B58,'[2]MENGENLS1 27-07-2000'!$AM$7:$AN$38,2,0)),0,VLOOKUP($B58,'[2]MENGENLS1 27-07-2000'!$AM$7:$AN$38,2,0))</f>
        <v>0</v>
      </c>
      <c r="K58" s="109">
        <f>IF(ISNA(VLOOKUP($B58,'[2]MENGENLS1 27-07-2000'!$AP$7:$AQ$12,2,0)),0,VLOOKUP($B58,'[2]MENGENLS1 27-07-2000'!$AP$7:$AQ$12,2,0))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5">
      <c r="B59" s="107">
        <f t="shared" si="3"/>
        <v>38443</v>
      </c>
      <c r="C59" s="108">
        <f>IF(ISNA(VLOOKUP($B59,'[2]MENGENLS1 27-07-2000'!$R$7:$S$71,2,0)),0,VLOOKUP($B59,'[2]MENGENLS1 27-07-2000'!$R$7:$S$71,2,0))</f>
        <v>-25</v>
      </c>
      <c r="D59" s="109">
        <f>IF(ISNA(VLOOKUP($B59,'[2]MENGENLS1 27-07-2000'!$U$7:$V$60,2,0)),0,VLOOKUP($B59,'[2]MENGENLS1 27-07-2000'!$U$7:$V$60,2,0))</f>
        <v>0</v>
      </c>
      <c r="E59" s="109">
        <f>IF(ISNA(VLOOKUP($B59,'[2]MENGENLS1 27-07-2000'!$X$7:$Y$27,2,0)),0,VLOOKUP($B59,'[2]MENGENLS1 27-07-2000'!$X$7:$Y$27,2,0))</f>
        <v>0</v>
      </c>
      <c r="F59" s="109">
        <f>IF(ISNA(VLOOKUP($B59,'[2]MENGENLS1 27-07-2000'!$AA$7:$AB$35,2,0)),0,VLOOKUP($B59,'[2]MENGENLS1 27-07-2000'!$AA$7:$AB$35,2,0))</f>
        <v>0</v>
      </c>
      <c r="G59" s="109">
        <f>IF(ISNA(VLOOKUP($B59,'[2]MENGENLS1 27-07-2000'!$AD$7:$AE$38,2,0)),0,VLOOKUP($B59,'[2]MENGENLS1 27-07-2000'!$AD$7:$AE$38,2,0))</f>
        <v>0</v>
      </c>
      <c r="H59" s="109">
        <f>IF(ISNA(VLOOKUP($B59,'[2]MENGENLS1 27-07-2000'!$AG$7:$AH$20,2,0)),0,VLOOKUP($B59,'[2]MENGENLS1 27-07-2000'!$AG$7:$AH$20,2,0))</f>
        <v>0</v>
      </c>
      <c r="I59" s="109">
        <f>IF(ISNA(VLOOKUP($B59,'[2]MENGENLS1 27-07-2000'!$AJ$7:$AK$38,2,0)),0,VLOOKUP($B59,'[2]MENGENLS1 27-07-2000'!$AJ$7:$AK$38,2,0))</f>
        <v>0</v>
      </c>
      <c r="J59" s="109">
        <f>IF(ISNA(VLOOKUP($B59,'[2]MENGENLS1 27-07-2000'!$AM$7:$AN$38,2,0)),0,VLOOKUP($B59,'[2]MENGENLS1 27-07-2000'!$AM$7:$AN$38,2,0))</f>
        <v>0</v>
      </c>
      <c r="K59" s="109">
        <f>IF(ISNA(VLOOKUP($B59,'[2]MENGENLS1 27-07-2000'!$AP$7:$AQ$12,2,0)),0,VLOOKUP($B59,'[2]MENGENLS1 27-07-2000'!$AP$7:$AQ$12,2,0))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5">
      <c r="B60" s="107">
        <f t="shared" si="3"/>
        <v>38473</v>
      </c>
      <c r="C60" s="108">
        <f>IF(ISNA(VLOOKUP($B60,'[2]MENGENLS1 27-07-2000'!$R$7:$S$71,2,0)),0,VLOOKUP($B60,'[2]MENGENLS1 27-07-2000'!$R$7:$S$71,2,0))</f>
        <v>0</v>
      </c>
      <c r="D60" s="109">
        <f>IF(ISNA(VLOOKUP($B60,'[2]MENGENLS1 27-07-2000'!$U$7:$V$60,2,0)),0,VLOOKUP($B60,'[2]MENGENLS1 27-07-2000'!$U$7:$V$60,2,0))</f>
        <v>0</v>
      </c>
      <c r="E60" s="109">
        <f>IF(ISNA(VLOOKUP($B60,'[2]MENGENLS1 27-07-2000'!$X$7:$Y$27,2,0)),0,VLOOKUP($B60,'[2]MENGENLS1 27-07-2000'!$X$7:$Y$27,2,0))</f>
        <v>0</v>
      </c>
      <c r="F60" s="109">
        <f>IF(ISNA(VLOOKUP($B60,'[2]MENGENLS1 27-07-2000'!$AA$7:$AB$35,2,0)),0,VLOOKUP($B60,'[2]MENGENLS1 27-07-2000'!$AA$7:$AB$35,2,0))</f>
        <v>0</v>
      </c>
      <c r="G60" s="109">
        <f>IF(ISNA(VLOOKUP($B60,'[2]MENGENLS1 27-07-2000'!$AD$7:$AE$38,2,0)),0,VLOOKUP($B60,'[2]MENGENLS1 27-07-2000'!$AD$7:$AE$38,2,0))</f>
        <v>0</v>
      </c>
      <c r="H60" s="109">
        <f>IF(ISNA(VLOOKUP($B60,'[2]MENGENLS1 27-07-2000'!$AG$7:$AH$20,2,0)),0,VLOOKUP($B60,'[2]MENGENLS1 27-07-2000'!$AG$7:$AH$20,2,0))</f>
        <v>0</v>
      </c>
      <c r="I60" s="109">
        <f>IF(ISNA(VLOOKUP($B60,'[2]MENGENLS1 27-07-2000'!$AJ$7:$AK$38,2,0)),0,VLOOKUP($B60,'[2]MENGENLS1 27-07-2000'!$AJ$7:$AK$38,2,0))</f>
        <v>0</v>
      </c>
      <c r="J60" s="109">
        <f>IF(ISNA(VLOOKUP($B60,'[2]MENGENLS1 27-07-2000'!$AM$7:$AN$38,2,0)),0,VLOOKUP($B60,'[2]MENGENLS1 27-07-2000'!$AM$7:$AN$38,2,0))</f>
        <v>0</v>
      </c>
      <c r="K60" s="109">
        <f>IF(ISNA(VLOOKUP($B60,'[2]MENGENLS1 27-07-2000'!$AP$7:$AQ$12,2,0)),0,VLOOKUP($B60,'[2]MENGENLS1 27-07-2000'!$AP$7:$AQ$12,2,0))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5">
      <c r="B61" s="107">
        <f t="shared" si="3"/>
        <v>38504</v>
      </c>
      <c r="C61" s="108">
        <f>IF(ISNA(VLOOKUP($B61,'[2]MENGENLS1 27-07-2000'!$R$7:$S$71,2,0)),0,VLOOKUP($B61,'[2]MENGENLS1 27-07-2000'!$R$7:$S$71,2,0))</f>
        <v>-25</v>
      </c>
      <c r="D61" s="109">
        <f>IF(ISNA(VLOOKUP($B61,'[2]MENGENLS1 27-07-2000'!$U$7:$V$60,2,0)),0,VLOOKUP($B61,'[2]MENGENLS1 27-07-2000'!$U$7:$V$60,2,0))</f>
        <v>0</v>
      </c>
      <c r="E61" s="109">
        <f>IF(ISNA(VLOOKUP($B61,'[2]MENGENLS1 27-07-2000'!$X$7:$Y$27,2,0)),0,VLOOKUP($B61,'[2]MENGENLS1 27-07-2000'!$X$7:$Y$27,2,0))</f>
        <v>0</v>
      </c>
      <c r="F61" s="109">
        <f>IF(ISNA(VLOOKUP($B61,'[2]MENGENLS1 27-07-2000'!$AA$7:$AB$35,2,0)),0,VLOOKUP($B61,'[2]MENGENLS1 27-07-2000'!$AA$7:$AB$35,2,0))</f>
        <v>0</v>
      </c>
      <c r="G61" s="109">
        <f>IF(ISNA(VLOOKUP($B61,'[2]MENGENLS1 27-07-2000'!$AD$7:$AE$38,2,0)),0,VLOOKUP($B61,'[2]MENGENLS1 27-07-2000'!$AD$7:$AE$38,2,0))</f>
        <v>0</v>
      </c>
      <c r="H61" s="109">
        <f>IF(ISNA(VLOOKUP($B61,'[2]MENGENLS1 27-07-2000'!$AG$7:$AH$20,2,0)),0,VLOOKUP($B61,'[2]MENGENLS1 27-07-2000'!$AG$7:$AH$20,2,0))</f>
        <v>0</v>
      </c>
      <c r="I61" s="109">
        <f>IF(ISNA(VLOOKUP($B61,'[2]MENGENLS1 27-07-2000'!$AJ$7:$AK$38,2,0)),0,VLOOKUP($B61,'[2]MENGENLS1 27-07-2000'!$AJ$7:$AK$38,2,0))</f>
        <v>0</v>
      </c>
      <c r="J61" s="109">
        <f>IF(ISNA(VLOOKUP($B61,'[2]MENGENLS1 27-07-2000'!$AM$7:$AN$38,2,0)),0,VLOOKUP($B61,'[2]MENGENLS1 27-07-2000'!$AM$7:$AN$38,2,0))</f>
        <v>0</v>
      </c>
      <c r="K61" s="109">
        <f>IF(ISNA(VLOOKUP($B61,'[2]MENGENLS1 27-07-2000'!$AP$7:$AQ$12,2,0)),0,VLOOKUP($B61,'[2]MENGENLS1 27-07-2000'!$AP$7:$AQ$12,2,0))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5">
      <c r="B62" s="107">
        <f t="shared" si="3"/>
        <v>38534</v>
      </c>
      <c r="C62" s="108">
        <f>IF(ISNA(VLOOKUP($B62,'[2]MENGENLS1 27-07-2000'!$R$7:$S$71,2,0)),0,VLOOKUP($B62,'[2]MENGENLS1 27-07-2000'!$R$7:$S$71,2,0))</f>
        <v>0</v>
      </c>
      <c r="D62" s="109">
        <f>IF(ISNA(VLOOKUP($B62,'[2]MENGENLS1 27-07-2000'!$U$7:$V$60,2,0)),0,VLOOKUP($B62,'[2]MENGENLS1 27-07-2000'!$U$7:$V$60,2,0))</f>
        <v>0</v>
      </c>
      <c r="E62" s="109">
        <f>IF(ISNA(VLOOKUP($B62,'[2]MENGENLS1 27-07-2000'!$X$7:$Y$27,2,0)),0,VLOOKUP($B62,'[2]MENGENLS1 27-07-2000'!$X$7:$Y$27,2,0))</f>
        <v>0</v>
      </c>
      <c r="F62" s="109">
        <f>IF(ISNA(VLOOKUP($B62,'[2]MENGENLS1 27-07-2000'!$AA$7:$AB$35,2,0)),0,VLOOKUP($B62,'[2]MENGENLS1 27-07-2000'!$AA$7:$AB$35,2,0))</f>
        <v>0</v>
      </c>
      <c r="G62" s="109">
        <f>IF(ISNA(VLOOKUP($B62,'[2]MENGENLS1 27-07-2000'!$AD$7:$AE$38,2,0)),0,VLOOKUP($B62,'[2]MENGENLS1 27-07-2000'!$AD$7:$AE$38,2,0))</f>
        <v>0</v>
      </c>
      <c r="H62" s="109">
        <f>IF(ISNA(VLOOKUP($B62,'[2]MENGENLS1 27-07-2000'!$AG$7:$AH$20,2,0)),0,VLOOKUP($B62,'[2]MENGENLS1 27-07-2000'!$AG$7:$AH$20,2,0))</f>
        <v>0</v>
      </c>
      <c r="I62" s="109">
        <f>IF(ISNA(VLOOKUP($B62,'[2]MENGENLS1 27-07-2000'!$AJ$7:$AK$38,2,0)),0,VLOOKUP($B62,'[2]MENGENLS1 27-07-2000'!$AJ$7:$AK$38,2,0))</f>
        <v>0</v>
      </c>
      <c r="J62" s="109">
        <f>IF(ISNA(VLOOKUP($B62,'[2]MENGENLS1 27-07-2000'!$AM$7:$AN$38,2,0)),0,VLOOKUP($B62,'[2]MENGENLS1 27-07-2000'!$AM$7:$AN$38,2,0))</f>
        <v>0</v>
      </c>
      <c r="K62" s="109">
        <f>IF(ISNA(VLOOKUP($B62,'[2]MENGENLS1 27-07-2000'!$AP$7:$AQ$12,2,0)),0,VLOOKUP($B62,'[2]MENGENLS1 27-07-2000'!$AP$7:$AQ$12,2,0))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5">
      <c r="B63" s="107">
        <f t="shared" si="3"/>
        <v>38565</v>
      </c>
      <c r="C63" s="108">
        <f>IF(ISNA(VLOOKUP($B63,'[2]MENGENLS1 27-07-2000'!$R$7:$S$71,2,0)),0,VLOOKUP($B63,'[2]MENGENLS1 27-07-2000'!$R$7:$S$71,2,0))</f>
        <v>-25</v>
      </c>
      <c r="D63" s="109">
        <f>IF(ISNA(VLOOKUP($B63,'[2]MENGENLS1 27-07-2000'!$U$7:$V$60,2,0)),0,VLOOKUP($B63,'[2]MENGENLS1 27-07-2000'!$U$7:$V$60,2,0))</f>
        <v>0</v>
      </c>
      <c r="E63" s="109">
        <f>IF(ISNA(VLOOKUP($B63,'[2]MENGENLS1 27-07-2000'!$X$7:$Y$27,2,0)),0,VLOOKUP($B63,'[2]MENGENLS1 27-07-2000'!$X$7:$Y$27,2,0))</f>
        <v>0</v>
      </c>
      <c r="F63" s="109">
        <f>IF(ISNA(VLOOKUP($B63,'[2]MENGENLS1 27-07-2000'!$AA$7:$AB$35,2,0)),0,VLOOKUP($B63,'[2]MENGENLS1 27-07-2000'!$AA$7:$AB$35,2,0))</f>
        <v>0</v>
      </c>
      <c r="G63" s="109">
        <f>IF(ISNA(VLOOKUP($B63,'[2]MENGENLS1 27-07-2000'!$AD$7:$AE$38,2,0)),0,VLOOKUP($B63,'[2]MENGENLS1 27-07-2000'!$AD$7:$AE$38,2,0))</f>
        <v>0</v>
      </c>
      <c r="H63" s="109">
        <f>IF(ISNA(VLOOKUP($B63,'[2]MENGENLS1 27-07-2000'!$AG$7:$AH$20,2,0)),0,VLOOKUP($B63,'[2]MENGENLS1 27-07-2000'!$AG$7:$AH$20,2,0))</f>
        <v>0</v>
      </c>
      <c r="I63" s="109">
        <f>IF(ISNA(VLOOKUP($B63,'[2]MENGENLS1 27-07-2000'!$AJ$7:$AK$38,2,0)),0,VLOOKUP($B63,'[2]MENGENLS1 27-07-2000'!$AJ$7:$AK$38,2,0))</f>
        <v>0</v>
      </c>
      <c r="J63" s="109">
        <f>IF(ISNA(VLOOKUP($B63,'[2]MENGENLS1 27-07-2000'!$AM$7:$AN$38,2,0)),0,VLOOKUP($B63,'[2]MENGENLS1 27-07-2000'!$AM$7:$AN$38,2,0))</f>
        <v>0</v>
      </c>
      <c r="K63" s="109">
        <f>IF(ISNA(VLOOKUP($B63,'[2]MENGENLS1 27-07-2000'!$AP$7:$AQ$12,2,0)),0,VLOOKUP($B63,'[2]MENGENLS1 27-07-2000'!$AP$7:$AQ$12,2,0))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5">
      <c r="B64" s="107">
        <f t="shared" si="3"/>
        <v>38596</v>
      </c>
      <c r="C64" s="108">
        <f>IF(ISNA(VLOOKUP($B64,'[2]MENGENLS1 27-07-2000'!$R$7:$S$71,2,0)),0,VLOOKUP($B64,'[2]MENGENLS1 27-07-2000'!$R$7:$S$71,2,0))</f>
        <v>0</v>
      </c>
      <c r="D64" s="109">
        <f>IF(ISNA(VLOOKUP($B64,'[2]MENGENLS1 27-07-2000'!$U$7:$V$60,2,0)),0,VLOOKUP($B64,'[2]MENGENLS1 27-07-2000'!$U$7:$V$60,2,0))</f>
        <v>0</v>
      </c>
      <c r="E64" s="109">
        <f>IF(ISNA(VLOOKUP($B64,'[2]MENGENLS1 27-07-2000'!$X$7:$Y$27,2,0)),0,VLOOKUP($B64,'[2]MENGENLS1 27-07-2000'!$X$7:$Y$27,2,0))</f>
        <v>0</v>
      </c>
      <c r="F64" s="109">
        <f>IF(ISNA(VLOOKUP($B64,'[2]MENGENLS1 27-07-2000'!$AA$7:$AB$35,2,0)),0,VLOOKUP($B64,'[2]MENGENLS1 27-07-2000'!$AA$7:$AB$35,2,0))</f>
        <v>0</v>
      </c>
      <c r="G64" s="109">
        <f>IF(ISNA(VLOOKUP($B64,'[2]MENGENLS1 27-07-2000'!$AD$7:$AE$38,2,0)),0,VLOOKUP($B64,'[2]MENGENLS1 27-07-2000'!$AD$7:$AE$38,2,0))</f>
        <v>0</v>
      </c>
      <c r="H64" s="109">
        <f>IF(ISNA(VLOOKUP($B64,'[2]MENGENLS1 27-07-2000'!$AG$7:$AH$20,2,0)),0,VLOOKUP($B64,'[2]MENGENLS1 27-07-2000'!$AG$7:$AH$20,2,0))</f>
        <v>0</v>
      </c>
      <c r="I64" s="109">
        <f>IF(ISNA(VLOOKUP($B64,'[2]MENGENLS1 27-07-2000'!$AJ$7:$AK$38,2,0)),0,VLOOKUP($B64,'[2]MENGENLS1 27-07-2000'!$AJ$7:$AK$38,2,0))</f>
        <v>0</v>
      </c>
      <c r="J64" s="109">
        <f>IF(ISNA(VLOOKUP($B64,'[2]MENGENLS1 27-07-2000'!$AM$7:$AN$38,2,0)),0,VLOOKUP($B64,'[2]MENGENLS1 27-07-2000'!$AM$7:$AN$38,2,0))</f>
        <v>0</v>
      </c>
      <c r="K64" s="109">
        <f>IF(ISNA(VLOOKUP($B64,'[2]MENGENLS1 27-07-2000'!$AP$7:$AQ$12,2,0)),0,VLOOKUP($B64,'[2]MENGENLS1 27-07-2000'!$AP$7:$AQ$12,2,0))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5">
      <c r="B65" s="107">
        <f t="shared" si="3"/>
        <v>38626</v>
      </c>
      <c r="C65" s="108">
        <f>IF(ISNA(VLOOKUP($B65,'[2]MENGENLS1 27-07-2000'!$R$7:$S$71,2,0)),0,VLOOKUP($B65,'[2]MENGENLS1 27-07-2000'!$R$7:$S$71,2,0))</f>
        <v>-25</v>
      </c>
      <c r="D65" s="109">
        <f>IF(ISNA(VLOOKUP($B65,'[2]MENGENLS1 27-07-2000'!$U$7:$V$60,2,0)),0,VLOOKUP($B65,'[2]MENGENLS1 27-07-2000'!$U$7:$V$60,2,0))</f>
        <v>0</v>
      </c>
      <c r="E65" s="109">
        <f>IF(ISNA(VLOOKUP($B65,'[2]MENGENLS1 27-07-2000'!$X$7:$Y$27,2,0)),0,VLOOKUP($B65,'[2]MENGENLS1 27-07-2000'!$X$7:$Y$27,2,0))</f>
        <v>0</v>
      </c>
      <c r="F65" s="109">
        <f>IF(ISNA(VLOOKUP($B65,'[2]MENGENLS1 27-07-2000'!$AA$7:$AB$35,2,0)),0,VLOOKUP($B65,'[2]MENGENLS1 27-07-2000'!$AA$7:$AB$35,2,0))</f>
        <v>0</v>
      </c>
      <c r="G65" s="109">
        <f>IF(ISNA(VLOOKUP($B65,'[2]MENGENLS1 27-07-2000'!$AD$7:$AE$38,2,0)),0,VLOOKUP($B65,'[2]MENGENLS1 27-07-2000'!$AD$7:$AE$38,2,0))</f>
        <v>0</v>
      </c>
      <c r="H65" s="109">
        <f>IF(ISNA(VLOOKUP($B65,'[2]MENGENLS1 27-07-2000'!$AG$7:$AH$20,2,0)),0,VLOOKUP($B65,'[2]MENGENLS1 27-07-2000'!$AG$7:$AH$20,2,0))</f>
        <v>0</v>
      </c>
      <c r="I65" s="109">
        <f>IF(ISNA(VLOOKUP($B65,'[2]MENGENLS1 27-07-2000'!$AJ$7:$AK$38,2,0)),0,VLOOKUP($B65,'[2]MENGENLS1 27-07-2000'!$AJ$7:$AK$38,2,0))</f>
        <v>0</v>
      </c>
      <c r="J65" s="109">
        <f>IF(ISNA(VLOOKUP($B65,'[2]MENGENLS1 27-07-2000'!$AM$7:$AN$38,2,0)),0,VLOOKUP($B65,'[2]MENGENLS1 27-07-2000'!$AM$7:$AN$38,2,0))</f>
        <v>0</v>
      </c>
      <c r="K65" s="109">
        <f>IF(ISNA(VLOOKUP($B65,'[2]MENGENLS1 27-07-2000'!$AP$7:$AQ$12,2,0)),0,VLOOKUP($B65,'[2]MENGENLS1 27-07-2000'!$AP$7:$AQ$12,2,0))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5">
      <c r="B66" s="107">
        <f t="shared" si="3"/>
        <v>38657</v>
      </c>
      <c r="C66" s="108">
        <f>IF(ISNA(VLOOKUP($B66,'[2]MENGENLS1 27-07-2000'!$R$7:$S$71,2,0)),0,VLOOKUP($B66,'[2]MENGENLS1 27-07-2000'!$R$7:$S$71,2,0))</f>
        <v>0</v>
      </c>
      <c r="D66" s="109">
        <f>IF(ISNA(VLOOKUP($B66,'[2]MENGENLS1 27-07-2000'!$U$7:$V$60,2,0)),0,VLOOKUP($B66,'[2]MENGENLS1 27-07-2000'!$U$7:$V$60,2,0))</f>
        <v>0</v>
      </c>
      <c r="E66" s="109">
        <f>IF(ISNA(VLOOKUP($B66,'[2]MENGENLS1 27-07-2000'!$X$7:$Y$27,2,0)),0,VLOOKUP($B66,'[2]MENGENLS1 27-07-2000'!$X$7:$Y$27,2,0))</f>
        <v>0</v>
      </c>
      <c r="F66" s="109">
        <f>IF(ISNA(VLOOKUP($B66,'[2]MENGENLS1 27-07-2000'!$AA$7:$AB$35,2,0)),0,VLOOKUP($B66,'[2]MENGENLS1 27-07-2000'!$AA$7:$AB$35,2,0))</f>
        <v>0</v>
      </c>
      <c r="G66" s="109">
        <f>IF(ISNA(VLOOKUP($B66,'[2]MENGENLS1 27-07-2000'!$AD$7:$AE$38,2,0)),0,VLOOKUP($B66,'[2]MENGENLS1 27-07-2000'!$AD$7:$AE$38,2,0))</f>
        <v>0</v>
      </c>
      <c r="H66" s="109">
        <f>IF(ISNA(VLOOKUP($B66,'[2]MENGENLS1 27-07-2000'!$AG$7:$AH$20,2,0)),0,VLOOKUP($B66,'[2]MENGENLS1 27-07-2000'!$AG$7:$AH$20,2,0))</f>
        <v>0</v>
      </c>
      <c r="I66" s="109">
        <f>IF(ISNA(VLOOKUP($B66,'[2]MENGENLS1 27-07-2000'!$AJ$7:$AK$38,2,0)),0,VLOOKUP($B66,'[2]MENGENLS1 27-07-2000'!$AJ$7:$AK$38,2,0))</f>
        <v>0</v>
      </c>
      <c r="J66" s="109">
        <f>IF(ISNA(VLOOKUP($B66,'[2]MENGENLS1 27-07-2000'!$AM$7:$AN$38,2,0)),0,VLOOKUP($B66,'[2]MENGENLS1 27-07-2000'!$AM$7:$AN$38,2,0))</f>
        <v>0</v>
      </c>
      <c r="K66" s="109">
        <f>IF(ISNA(VLOOKUP($B66,'[2]MENGENLS1 27-07-2000'!$AP$7:$AQ$12,2,0)),0,VLOOKUP($B66,'[2]MENGENLS1 27-07-2000'!$AP$7:$AQ$12,2,0))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5">
      <c r="B67" s="107">
        <f t="shared" si="3"/>
        <v>38687</v>
      </c>
      <c r="C67" s="108">
        <f>IF(ISNA(VLOOKUP($B67,'[2]MENGENLS1 27-07-2000'!$R$7:$S$71,2,0)),0,VLOOKUP($B67,'[2]MENGENLS1 27-07-2000'!$R$7:$S$71,2,0))</f>
        <v>-25</v>
      </c>
      <c r="D67" s="109">
        <f>IF(ISNA(VLOOKUP($B67,'[2]MENGENLS1 27-07-2000'!$U$7:$V$60,2,0)),0,VLOOKUP($B67,'[2]MENGENLS1 27-07-2000'!$U$7:$V$60,2,0))</f>
        <v>0</v>
      </c>
      <c r="E67" s="109">
        <f>IF(ISNA(VLOOKUP($B67,'[2]MENGENLS1 27-07-2000'!$X$7:$Y$27,2,0)),0,VLOOKUP($B67,'[2]MENGENLS1 27-07-2000'!$X$7:$Y$27,2,0))</f>
        <v>0</v>
      </c>
      <c r="F67" s="109">
        <f>IF(ISNA(VLOOKUP($B67,'[2]MENGENLS1 27-07-2000'!$AA$7:$AB$35,2,0)),0,VLOOKUP($B67,'[2]MENGENLS1 27-07-2000'!$AA$7:$AB$35,2,0))</f>
        <v>0</v>
      </c>
      <c r="G67" s="109">
        <f>IF(ISNA(VLOOKUP($B67,'[2]MENGENLS1 27-07-2000'!$AD$7:$AE$38,2,0)),0,VLOOKUP($B67,'[2]MENGENLS1 27-07-2000'!$AD$7:$AE$38,2,0))</f>
        <v>0</v>
      </c>
      <c r="H67" s="109">
        <f>IF(ISNA(VLOOKUP($B67,'[2]MENGENLS1 27-07-2000'!$AG$7:$AH$20,2,0)),0,VLOOKUP($B67,'[2]MENGENLS1 27-07-2000'!$AG$7:$AH$20,2,0))</f>
        <v>0</v>
      </c>
      <c r="I67" s="109">
        <f>IF(ISNA(VLOOKUP($B67,'[2]MENGENLS1 27-07-2000'!$AJ$7:$AK$38,2,0)),0,VLOOKUP($B67,'[2]MENGENLS1 27-07-2000'!$AJ$7:$AK$38,2,0))</f>
        <v>0</v>
      </c>
      <c r="J67" s="109">
        <f>IF(ISNA(VLOOKUP($B67,'[2]MENGENLS1 27-07-2000'!$AM$7:$AN$38,2,0)),0,VLOOKUP($B67,'[2]MENGENLS1 27-07-2000'!$AM$7:$AN$38,2,0))</f>
        <v>0</v>
      </c>
      <c r="K67" s="109">
        <f>IF(ISNA(VLOOKUP($B67,'[2]MENGENLS1 27-07-2000'!$AP$7:$AQ$12,2,0)),0,VLOOKUP($B67,'[2]MENGENLS1 27-07-2000'!$AP$7:$AQ$12,2,0))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5">
      <c r="B68" s="107">
        <f t="shared" ref="B68:B80" si="4">DATE(YEAR(B67),MONTH(B67)+1,1)</f>
        <v>38718</v>
      </c>
      <c r="C68" s="108">
        <f>IF(ISNA(VLOOKUP($B68,'[2]MENGENLS1 27-07-2000'!$R$7:$S$71,2,0)),0,VLOOKUP($B68,'[2]MENGENLS1 27-07-2000'!$R$7:$S$71,2,0))</f>
        <v>0</v>
      </c>
      <c r="D68" s="109">
        <f>IF(ISNA(VLOOKUP($B68,'[2]MENGENLS1 27-07-2000'!$U$7:$V$60,2,0)),0,VLOOKUP($B68,'[2]MENGENLS1 27-07-2000'!$U$7:$V$60,2,0))</f>
        <v>0</v>
      </c>
      <c r="E68" s="109">
        <f>IF(ISNA(VLOOKUP($B68,'[2]MENGENLS1 27-07-2000'!$X$7:$Y$27,2,0)),0,VLOOKUP($B68,'[2]MENGENLS1 27-07-2000'!$X$7:$Y$27,2,0))</f>
        <v>0</v>
      </c>
      <c r="F68" s="109">
        <f>IF(ISNA(VLOOKUP($B68,'[2]MENGENLS1 27-07-2000'!$AA$7:$AB$35,2,0)),0,VLOOKUP($B68,'[2]MENGENLS1 27-07-2000'!$AA$7:$AB$35,2,0))</f>
        <v>0</v>
      </c>
      <c r="G68" s="109">
        <f>IF(ISNA(VLOOKUP($B68,'[2]MENGENLS1 27-07-2000'!$AD$7:$AE$38,2,0)),0,VLOOKUP($B68,'[2]MENGENLS1 27-07-2000'!$AD$7:$AE$38,2,0))</f>
        <v>0</v>
      </c>
      <c r="H68" s="109">
        <f>IF(ISNA(VLOOKUP($B68,'[2]MENGENLS1 27-07-2000'!$AG$7:$AH$20,2,0)),0,VLOOKUP($B68,'[2]MENGENLS1 27-07-2000'!$AG$7:$AH$20,2,0))</f>
        <v>0</v>
      </c>
      <c r="I68" s="109">
        <f>IF(ISNA(VLOOKUP($B68,'[2]MENGENLS1 27-07-2000'!$AJ$7:$AK$38,2,0)),0,VLOOKUP($B68,'[2]MENGENLS1 27-07-2000'!$AJ$7:$AK$38,2,0))</f>
        <v>0</v>
      </c>
      <c r="J68" s="109">
        <f>IF(ISNA(VLOOKUP($B68,'[2]MENGENLS1 27-07-2000'!$AM$7:$AN$38,2,0)),0,VLOOKUP($B68,'[2]MENGENLS1 27-07-2000'!$AM$7:$AN$38,2,0))</f>
        <v>0</v>
      </c>
      <c r="K68" s="109">
        <f>IF(ISNA(VLOOKUP($B68,'[2]MENGENLS1 27-07-2000'!$AP$7:$AQ$12,2,0)),0,VLOOKUP($B68,'[2]MENGENLS1 27-07-2000'!$AP$7:$AQ$12,2,0))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5">
      <c r="B69" s="107">
        <f t="shared" si="4"/>
        <v>38749</v>
      </c>
      <c r="C69" s="108">
        <f>IF(ISNA(VLOOKUP($B69,'[2]MENGENLS1 27-07-2000'!$R$7:$S$71,2,0)),0,VLOOKUP($B69,'[2]MENGENLS1 27-07-2000'!$R$7:$S$71,2,0))</f>
        <v>-25</v>
      </c>
      <c r="D69" s="109">
        <f>IF(ISNA(VLOOKUP($B69,'[2]MENGENLS1 27-07-2000'!$U$7:$V$60,2,0)),0,VLOOKUP($B69,'[2]MENGENLS1 27-07-2000'!$U$7:$V$60,2,0))</f>
        <v>0</v>
      </c>
      <c r="E69" s="109">
        <f>IF(ISNA(VLOOKUP($B69,'[2]MENGENLS1 27-07-2000'!$X$7:$Y$27,2,0)),0,VLOOKUP($B69,'[2]MENGENLS1 27-07-2000'!$X$7:$Y$27,2,0))</f>
        <v>0</v>
      </c>
      <c r="F69" s="109">
        <f>IF(ISNA(VLOOKUP($B69,'[2]MENGENLS1 27-07-2000'!$AA$7:$AB$35,2,0)),0,VLOOKUP($B69,'[2]MENGENLS1 27-07-2000'!$AA$7:$AB$35,2,0))</f>
        <v>0</v>
      </c>
      <c r="G69" s="109">
        <f>IF(ISNA(VLOOKUP($B69,'[2]MENGENLS1 27-07-2000'!$AD$7:$AE$38,2,0)),0,VLOOKUP($B69,'[2]MENGENLS1 27-07-2000'!$AD$7:$AE$38,2,0))</f>
        <v>0</v>
      </c>
      <c r="H69" s="109">
        <f>IF(ISNA(VLOOKUP($B69,'[2]MENGENLS1 27-07-2000'!$AG$7:$AH$20,2,0)),0,VLOOKUP($B69,'[2]MENGENLS1 27-07-2000'!$AG$7:$AH$20,2,0))</f>
        <v>0</v>
      </c>
      <c r="I69" s="109">
        <f>IF(ISNA(VLOOKUP($B69,'[2]MENGENLS1 27-07-2000'!$AJ$7:$AK$38,2,0)),0,VLOOKUP($B69,'[2]MENGENLS1 27-07-2000'!$AJ$7:$AK$38,2,0))</f>
        <v>0</v>
      </c>
      <c r="J69" s="109">
        <f>IF(ISNA(VLOOKUP($B69,'[2]MENGENLS1 27-07-2000'!$AM$7:$AN$38,2,0)),0,VLOOKUP($B69,'[2]MENGENLS1 27-07-2000'!$AM$7:$AN$38,2,0))</f>
        <v>0</v>
      </c>
      <c r="K69" s="109">
        <f>IF(ISNA(VLOOKUP($B69,'[2]MENGENLS1 27-07-2000'!$AP$7:$AQ$12,2,0)),0,VLOOKUP($B69,'[2]MENGENLS1 27-07-2000'!$AP$7:$AQ$12,2,0))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5">
      <c r="B70" s="107">
        <f t="shared" si="4"/>
        <v>38777</v>
      </c>
      <c r="C70" s="108">
        <f>IF(ISNA(VLOOKUP($B70,'[2]MENGENLS1 27-07-2000'!$R$7:$S$71,2,0)),0,VLOOKUP($B70,'[2]MENGENLS1 27-07-2000'!$R$7:$S$71,2,0))</f>
        <v>0</v>
      </c>
      <c r="D70" s="109">
        <f>IF(ISNA(VLOOKUP($B70,'[2]MENGENLS1 27-07-2000'!$U$7:$V$60,2,0)),0,VLOOKUP($B70,'[2]MENGENLS1 27-07-2000'!$U$7:$V$60,2,0))</f>
        <v>0</v>
      </c>
      <c r="E70" s="109">
        <f>IF(ISNA(VLOOKUP($B70,'[2]MENGENLS1 27-07-2000'!$X$7:$Y$27,2,0)),0,VLOOKUP($B70,'[2]MENGENLS1 27-07-2000'!$X$7:$Y$27,2,0))</f>
        <v>0</v>
      </c>
      <c r="F70" s="109">
        <f>IF(ISNA(VLOOKUP($B70,'[2]MENGENLS1 27-07-2000'!$AA$7:$AB$35,2,0)),0,VLOOKUP($B70,'[2]MENGENLS1 27-07-2000'!$AA$7:$AB$35,2,0))</f>
        <v>0</v>
      </c>
      <c r="G70" s="109">
        <f>IF(ISNA(VLOOKUP($B70,'[2]MENGENLS1 27-07-2000'!$AD$7:$AE$38,2,0)),0,VLOOKUP($B70,'[2]MENGENLS1 27-07-2000'!$AD$7:$AE$38,2,0))</f>
        <v>0</v>
      </c>
      <c r="H70" s="109">
        <f>IF(ISNA(VLOOKUP($B70,'[2]MENGENLS1 27-07-2000'!$AG$7:$AH$20,2,0)),0,VLOOKUP($B70,'[2]MENGENLS1 27-07-2000'!$AG$7:$AH$20,2,0))</f>
        <v>0</v>
      </c>
      <c r="I70" s="109">
        <f>IF(ISNA(VLOOKUP($B70,'[2]MENGENLS1 27-07-2000'!$AJ$7:$AK$38,2,0)),0,VLOOKUP($B70,'[2]MENGENLS1 27-07-2000'!$AJ$7:$AK$38,2,0))</f>
        <v>0</v>
      </c>
      <c r="J70" s="109">
        <f>IF(ISNA(VLOOKUP($B70,'[2]MENGENLS1 27-07-2000'!$AM$7:$AN$38,2,0)),0,VLOOKUP($B70,'[2]MENGENLS1 27-07-2000'!$AM$7:$AN$38,2,0))</f>
        <v>0</v>
      </c>
      <c r="K70" s="109">
        <f>IF(ISNA(VLOOKUP($B70,'[2]MENGENLS1 27-07-2000'!$AP$7:$AQ$12,2,0)),0,VLOOKUP($B70,'[2]MENGENLS1 27-07-2000'!$AP$7:$AQ$12,2,0))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5">
      <c r="B71" s="107">
        <f t="shared" si="4"/>
        <v>38808</v>
      </c>
      <c r="C71" s="108">
        <f>IF(ISNA(VLOOKUP($B71,'[2]MENGENLS1 27-07-2000'!$R$7:$S$71,2,0)),0,VLOOKUP($B71,'[2]MENGENLS1 27-07-2000'!$R$7:$S$71,2,0))</f>
        <v>-25</v>
      </c>
      <c r="D71" s="109">
        <f>IF(ISNA(VLOOKUP($B71,'[2]MENGENLS1 27-07-2000'!$U$7:$V$60,2,0)),0,VLOOKUP($B71,'[2]MENGENLS1 27-07-2000'!$U$7:$V$60,2,0))</f>
        <v>0</v>
      </c>
      <c r="E71" s="109">
        <f>IF(ISNA(VLOOKUP($B71,'[2]MENGENLS1 27-07-2000'!$X$7:$Y$27,2,0)),0,VLOOKUP($B71,'[2]MENGENLS1 27-07-2000'!$X$7:$Y$27,2,0))</f>
        <v>0</v>
      </c>
      <c r="F71" s="109">
        <f>IF(ISNA(VLOOKUP($B71,'[2]MENGENLS1 27-07-2000'!$AA$7:$AB$35,2,0)),0,VLOOKUP($B71,'[2]MENGENLS1 27-07-2000'!$AA$7:$AB$35,2,0))</f>
        <v>0</v>
      </c>
      <c r="G71" s="109">
        <f>IF(ISNA(VLOOKUP($B71,'[2]MENGENLS1 27-07-2000'!$AD$7:$AE$38,2,0)),0,VLOOKUP($B71,'[2]MENGENLS1 27-07-2000'!$AD$7:$AE$38,2,0))</f>
        <v>0</v>
      </c>
      <c r="H71" s="109">
        <f>IF(ISNA(VLOOKUP($B71,'[2]MENGENLS1 27-07-2000'!$AG$7:$AH$20,2,0)),0,VLOOKUP($B71,'[2]MENGENLS1 27-07-2000'!$AG$7:$AH$20,2,0))</f>
        <v>0</v>
      </c>
      <c r="I71" s="109">
        <f>IF(ISNA(VLOOKUP($B71,'[2]MENGENLS1 27-07-2000'!$AJ$7:$AK$38,2,0)),0,VLOOKUP($B71,'[2]MENGENLS1 27-07-2000'!$AJ$7:$AK$38,2,0))</f>
        <v>0</v>
      </c>
      <c r="J71" s="109">
        <f>IF(ISNA(VLOOKUP($B71,'[2]MENGENLS1 27-07-2000'!$AM$7:$AN$38,2,0)),0,VLOOKUP($B71,'[2]MENGENLS1 27-07-2000'!$AM$7:$AN$38,2,0))</f>
        <v>0</v>
      </c>
      <c r="K71" s="109">
        <f>IF(ISNA(VLOOKUP($B71,'[2]MENGENLS1 27-07-2000'!$AP$7:$AQ$12,2,0)),0,VLOOKUP($B71,'[2]MENGENLS1 27-07-2000'!$AP$7:$AQ$12,2,0))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5">
      <c r="B72" s="107">
        <f t="shared" si="4"/>
        <v>38838</v>
      </c>
      <c r="C72" s="108">
        <f>IF(ISNA(VLOOKUP($B72,'[2]MENGENLS1 27-07-2000'!$R$7:$S$71,2,0)),0,VLOOKUP($B72,'[2]MENGENLS1 27-07-2000'!$R$7:$S$71,2,0))</f>
        <v>0</v>
      </c>
      <c r="D72" s="109">
        <f>IF(ISNA(VLOOKUP($B72,'[2]MENGENLS1 27-07-2000'!$U$7:$V$60,2,0)),0,VLOOKUP($B72,'[2]MENGENLS1 27-07-2000'!$U$7:$V$60,2,0))</f>
        <v>0</v>
      </c>
      <c r="E72" s="109">
        <f>IF(ISNA(VLOOKUP($B72,'[2]MENGENLS1 27-07-2000'!$X$7:$Y$27,2,0)),0,VLOOKUP($B72,'[2]MENGENLS1 27-07-2000'!$X$7:$Y$27,2,0))</f>
        <v>0</v>
      </c>
      <c r="F72" s="109">
        <f>IF(ISNA(VLOOKUP($B72,'[2]MENGENLS1 27-07-2000'!$AA$7:$AB$35,2,0)),0,VLOOKUP($B72,'[2]MENGENLS1 27-07-2000'!$AA$7:$AB$35,2,0))</f>
        <v>0</v>
      </c>
      <c r="G72" s="109">
        <f>IF(ISNA(VLOOKUP($B72,'[2]MENGENLS1 27-07-2000'!$AD$7:$AE$38,2,0)),0,VLOOKUP($B72,'[2]MENGENLS1 27-07-2000'!$AD$7:$AE$38,2,0))</f>
        <v>0</v>
      </c>
      <c r="H72" s="109">
        <f>IF(ISNA(VLOOKUP($B72,'[2]MENGENLS1 27-07-2000'!$AG$7:$AH$20,2,0)),0,VLOOKUP($B72,'[2]MENGENLS1 27-07-2000'!$AG$7:$AH$20,2,0))</f>
        <v>0</v>
      </c>
      <c r="I72" s="109">
        <f>IF(ISNA(VLOOKUP($B72,'[2]MENGENLS1 27-07-2000'!$AJ$7:$AK$38,2,0)),0,VLOOKUP($B72,'[2]MENGENLS1 27-07-2000'!$AJ$7:$AK$38,2,0))</f>
        <v>0</v>
      </c>
      <c r="J72" s="109">
        <f>IF(ISNA(VLOOKUP($B72,'[2]MENGENLS1 27-07-2000'!$AM$7:$AN$38,2,0)),0,VLOOKUP($B72,'[2]MENGENLS1 27-07-2000'!$AM$7:$AN$38,2,0))</f>
        <v>0</v>
      </c>
      <c r="K72" s="109">
        <f>IF(ISNA(VLOOKUP($B72,'[2]MENGENLS1 27-07-2000'!$AP$7:$AQ$12,2,0)),0,VLOOKUP($B72,'[2]MENGENLS1 27-07-2000'!$AP$7:$AQ$12,2,0))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5">
      <c r="B73" s="107">
        <f t="shared" si="4"/>
        <v>38869</v>
      </c>
      <c r="C73" s="108">
        <f>IF(ISNA(VLOOKUP($B73,'[2]MENGENLS1 27-07-2000'!$R$7:$S$71,2,0)),0,VLOOKUP($B73,'[2]MENGENLS1 27-07-2000'!$R$7:$S$71,2,0))</f>
        <v>-25</v>
      </c>
      <c r="D73" s="109">
        <f>IF(ISNA(VLOOKUP($B73,'[2]MENGENLS1 27-07-2000'!$U$7:$V$60,2,0)),0,VLOOKUP($B73,'[2]MENGENLS1 27-07-2000'!$U$7:$V$60,2,0))</f>
        <v>0</v>
      </c>
      <c r="E73" s="109">
        <f>IF(ISNA(VLOOKUP($B73,'[2]MENGENLS1 27-07-2000'!$X$7:$Y$27,2,0)),0,VLOOKUP($B73,'[2]MENGENLS1 27-07-2000'!$X$7:$Y$27,2,0))</f>
        <v>0</v>
      </c>
      <c r="F73" s="109">
        <f>IF(ISNA(VLOOKUP($B73,'[2]MENGENLS1 27-07-2000'!$AA$7:$AB$35,2,0)),0,VLOOKUP($B73,'[2]MENGENLS1 27-07-2000'!$AA$7:$AB$35,2,0))</f>
        <v>0</v>
      </c>
      <c r="G73" s="109">
        <f>IF(ISNA(VLOOKUP($B73,'[2]MENGENLS1 27-07-2000'!$AD$7:$AE$38,2,0)),0,VLOOKUP($B73,'[2]MENGENLS1 27-07-2000'!$AD$7:$AE$38,2,0))</f>
        <v>0</v>
      </c>
      <c r="H73" s="109">
        <f>IF(ISNA(VLOOKUP($B73,'[2]MENGENLS1 27-07-2000'!$AG$7:$AH$20,2,0)),0,VLOOKUP($B73,'[2]MENGENLS1 27-07-2000'!$AG$7:$AH$20,2,0))</f>
        <v>0</v>
      </c>
      <c r="I73" s="109">
        <f>IF(ISNA(VLOOKUP($B73,'[2]MENGENLS1 27-07-2000'!$AJ$7:$AK$38,2,0)),0,VLOOKUP($B73,'[2]MENGENLS1 27-07-2000'!$AJ$7:$AK$38,2,0))</f>
        <v>0</v>
      </c>
      <c r="J73" s="109">
        <f>IF(ISNA(VLOOKUP($B73,'[2]MENGENLS1 27-07-2000'!$AM$7:$AN$38,2,0)),0,VLOOKUP($B73,'[2]MENGENLS1 27-07-2000'!$AM$7:$AN$38,2,0))</f>
        <v>0</v>
      </c>
      <c r="K73" s="109">
        <f>IF(ISNA(VLOOKUP($B73,'[2]MENGENLS1 27-07-2000'!$AP$7:$AQ$12,2,0)),0,VLOOKUP($B73,'[2]MENGENLS1 27-07-2000'!$AP$7:$AQ$12,2,0))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5">
      <c r="B74" s="107">
        <f t="shared" si="4"/>
        <v>38899</v>
      </c>
      <c r="C74" s="108">
        <f>IF(ISNA(VLOOKUP($B74,'[2]MENGENLS1 27-07-2000'!$R$7:$S$71,2,0)),0,VLOOKUP($B74,'[2]MENGENLS1 27-07-2000'!$R$7:$S$71,2,0))</f>
        <v>0</v>
      </c>
      <c r="D74" s="109">
        <f>IF(ISNA(VLOOKUP($B74,'[2]MENGENLS1 27-07-2000'!$U$7:$V$60,2,0)),0,VLOOKUP($B74,'[2]MENGENLS1 27-07-2000'!$U$7:$V$60,2,0))</f>
        <v>0</v>
      </c>
      <c r="E74" s="109">
        <f>IF(ISNA(VLOOKUP($B74,'[2]MENGENLS1 27-07-2000'!$X$7:$Y$27,2,0)),0,VLOOKUP($B74,'[2]MENGENLS1 27-07-2000'!$X$7:$Y$27,2,0))</f>
        <v>0</v>
      </c>
      <c r="F74" s="109">
        <f>IF(ISNA(VLOOKUP($B74,'[2]MENGENLS1 27-07-2000'!$AA$7:$AB$35,2,0)),0,VLOOKUP($B74,'[2]MENGENLS1 27-07-2000'!$AA$7:$AB$35,2,0))</f>
        <v>0</v>
      </c>
      <c r="G74" s="109">
        <f>IF(ISNA(VLOOKUP($B74,'[2]MENGENLS1 27-07-2000'!$AD$7:$AE$38,2,0)),0,VLOOKUP($B74,'[2]MENGENLS1 27-07-2000'!$AD$7:$AE$38,2,0))</f>
        <v>0</v>
      </c>
      <c r="H74" s="109">
        <f>IF(ISNA(VLOOKUP($B74,'[2]MENGENLS1 27-07-2000'!$AG$7:$AH$20,2,0)),0,VLOOKUP($B74,'[2]MENGENLS1 27-07-2000'!$AG$7:$AH$20,2,0))</f>
        <v>0</v>
      </c>
      <c r="I74" s="109">
        <f>IF(ISNA(VLOOKUP($B74,'[2]MENGENLS1 27-07-2000'!$AJ$7:$AK$38,2,0)),0,VLOOKUP($B74,'[2]MENGENLS1 27-07-2000'!$AJ$7:$AK$38,2,0))</f>
        <v>0</v>
      </c>
      <c r="J74" s="109">
        <f>IF(ISNA(VLOOKUP($B74,'[2]MENGENLS1 27-07-2000'!$AM$7:$AN$38,2,0)),0,VLOOKUP($B74,'[2]MENGENLS1 27-07-2000'!$AM$7:$AN$38,2,0))</f>
        <v>0</v>
      </c>
      <c r="K74" s="109">
        <f>IF(ISNA(VLOOKUP($B74,'[2]MENGENLS1 27-07-2000'!$AP$7:$AQ$12,2,0)),0,VLOOKUP($B74,'[2]MENGENLS1 27-07-2000'!$AP$7:$AQ$12,2,0))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5">
      <c r="B75" s="107">
        <f t="shared" si="4"/>
        <v>38930</v>
      </c>
      <c r="C75" s="108">
        <f>IF(ISNA(VLOOKUP($B75,'[2]MENGENLS1 27-07-2000'!$R$7:$S$71,2,0)),0,VLOOKUP($B75,'[2]MENGENLS1 27-07-2000'!$R$7:$S$71,2,0))</f>
        <v>0</v>
      </c>
      <c r="D75" s="109">
        <f>IF(ISNA(VLOOKUP($B75,'[2]MENGENLS1 27-07-2000'!$U$7:$V$60,2,0)),0,VLOOKUP($B75,'[2]MENGENLS1 27-07-2000'!$U$7:$V$60,2,0))</f>
        <v>0</v>
      </c>
      <c r="E75" s="109">
        <f>IF(ISNA(VLOOKUP($B75,'[2]MENGENLS1 27-07-2000'!$X$7:$Y$27,2,0)),0,VLOOKUP($B75,'[2]MENGENLS1 27-07-2000'!$X$7:$Y$27,2,0))</f>
        <v>0</v>
      </c>
      <c r="F75" s="109">
        <f>IF(ISNA(VLOOKUP($B75,'[2]MENGENLS1 27-07-2000'!$AA$7:$AB$35,2,0)),0,VLOOKUP($B75,'[2]MENGENLS1 27-07-2000'!$AA$7:$AB$35,2,0))</f>
        <v>0</v>
      </c>
      <c r="G75" s="109">
        <f>IF(ISNA(VLOOKUP($B75,'[2]MENGENLS1 27-07-2000'!$AD$7:$AE$38,2,0)),0,VLOOKUP($B75,'[2]MENGENLS1 27-07-2000'!$AD$7:$AE$38,2,0))</f>
        <v>0</v>
      </c>
      <c r="H75" s="109">
        <f>IF(ISNA(VLOOKUP($B75,'[2]MENGENLS1 27-07-2000'!$AG$7:$AH$20,2,0)),0,VLOOKUP($B75,'[2]MENGENLS1 27-07-2000'!$AG$7:$AH$20,2,0))</f>
        <v>0</v>
      </c>
      <c r="I75" s="109">
        <f>IF(ISNA(VLOOKUP($B75,'[2]MENGENLS1 27-07-2000'!$AJ$7:$AK$38,2,0)),0,VLOOKUP($B75,'[2]MENGENLS1 27-07-2000'!$AJ$7:$AK$38,2,0))</f>
        <v>0</v>
      </c>
      <c r="J75" s="109">
        <f>IF(ISNA(VLOOKUP($B75,'[2]MENGENLS1 27-07-2000'!$AM$7:$AN$38,2,0)),0,VLOOKUP($B75,'[2]MENGENLS1 27-07-2000'!$AM$7:$AN$38,2,0))</f>
        <v>0</v>
      </c>
      <c r="K75" s="109">
        <f>IF(ISNA(VLOOKUP($B75,'[2]MENGENLS1 27-07-2000'!$AP$7:$AQ$12,2,0)),0,VLOOKUP($B75,'[2]MENGENLS1 27-07-2000'!$AP$7:$AQ$12,2,0))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5">
      <c r="B76" s="107">
        <f t="shared" si="4"/>
        <v>38961</v>
      </c>
      <c r="C76" s="108">
        <f>IF(ISNA(VLOOKUP($B76,'[2]MENGENLS1 27-07-2000'!$R$7:$S$71,2,0)),0,VLOOKUP($B76,'[2]MENGENLS1 27-07-2000'!$R$7:$S$71,2,0))</f>
        <v>0</v>
      </c>
      <c r="D76" s="109">
        <f>IF(ISNA(VLOOKUP($B76,'[2]MENGENLS1 27-07-2000'!$U$7:$V$60,2,0)),0,VLOOKUP($B76,'[2]MENGENLS1 27-07-2000'!$U$7:$V$60,2,0))</f>
        <v>0</v>
      </c>
      <c r="E76" s="109">
        <f>IF(ISNA(VLOOKUP($B76,'[2]MENGENLS1 27-07-2000'!$X$7:$Y$27,2,0)),0,VLOOKUP($B76,'[2]MENGENLS1 27-07-2000'!$X$7:$Y$27,2,0))</f>
        <v>0</v>
      </c>
      <c r="F76" s="109">
        <f>IF(ISNA(VLOOKUP($B76,'[2]MENGENLS1 27-07-2000'!$AA$7:$AB$35,2,0)),0,VLOOKUP($B76,'[2]MENGENLS1 27-07-2000'!$AA$7:$AB$35,2,0))</f>
        <v>0</v>
      </c>
      <c r="G76" s="109">
        <f>IF(ISNA(VLOOKUP($B76,'[2]MENGENLS1 27-07-2000'!$AD$7:$AE$38,2,0)),0,VLOOKUP($B76,'[2]MENGENLS1 27-07-2000'!$AD$7:$AE$38,2,0))</f>
        <v>0</v>
      </c>
      <c r="H76" s="109">
        <f>IF(ISNA(VLOOKUP($B76,'[2]MENGENLS1 27-07-2000'!$AG$7:$AH$20,2,0)),0,VLOOKUP($B76,'[2]MENGENLS1 27-07-2000'!$AG$7:$AH$20,2,0))</f>
        <v>0</v>
      </c>
      <c r="I76" s="109">
        <f>IF(ISNA(VLOOKUP($B76,'[2]MENGENLS1 27-07-2000'!$AJ$7:$AK$38,2,0)),0,VLOOKUP($B76,'[2]MENGENLS1 27-07-2000'!$AJ$7:$AK$38,2,0))</f>
        <v>0</v>
      </c>
      <c r="J76" s="109">
        <f>IF(ISNA(VLOOKUP($B76,'[2]MENGENLS1 27-07-2000'!$AM$7:$AN$38,2,0)),0,VLOOKUP($B76,'[2]MENGENLS1 27-07-2000'!$AM$7:$AN$38,2,0))</f>
        <v>0</v>
      </c>
      <c r="K76" s="109">
        <f>IF(ISNA(VLOOKUP($B76,'[2]MENGENLS1 27-07-2000'!$AP$7:$AQ$12,2,0)),0,VLOOKUP($B76,'[2]MENGENLS1 27-07-2000'!$AP$7:$AQ$12,2,0))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5">
      <c r="B77" s="107">
        <f t="shared" si="4"/>
        <v>38991</v>
      </c>
      <c r="C77" s="108">
        <f>IF(ISNA(VLOOKUP($B77,'[2]MENGENLS1 27-07-2000'!$R$7:$S$71,2,0)),0,VLOOKUP($B77,'[2]MENGENLS1 27-07-2000'!$R$7:$S$71,2,0))</f>
        <v>-25</v>
      </c>
      <c r="D77" s="109">
        <f>IF(ISNA(VLOOKUP($B77,'[2]MENGENLS1 27-07-2000'!$U$7:$V$60,2,0)),0,VLOOKUP($B77,'[2]MENGENLS1 27-07-2000'!$U$7:$V$60,2,0))</f>
        <v>0</v>
      </c>
      <c r="E77" s="109">
        <f>IF(ISNA(VLOOKUP($B77,'[2]MENGENLS1 27-07-2000'!$X$7:$Y$27,2,0)),0,VLOOKUP($B77,'[2]MENGENLS1 27-07-2000'!$X$7:$Y$27,2,0))</f>
        <v>0</v>
      </c>
      <c r="F77" s="109">
        <f>IF(ISNA(VLOOKUP($B77,'[2]MENGENLS1 27-07-2000'!$AA$7:$AB$35,2,0)),0,VLOOKUP($B77,'[2]MENGENLS1 27-07-2000'!$AA$7:$AB$35,2,0))</f>
        <v>0</v>
      </c>
      <c r="G77" s="109">
        <f>IF(ISNA(VLOOKUP($B77,'[2]MENGENLS1 27-07-2000'!$AD$7:$AE$38,2,0)),0,VLOOKUP($B77,'[2]MENGENLS1 27-07-2000'!$AD$7:$AE$38,2,0))</f>
        <v>0</v>
      </c>
      <c r="H77" s="109">
        <f>IF(ISNA(VLOOKUP($B77,'[2]MENGENLS1 27-07-2000'!$AG$7:$AH$20,2,0)),0,VLOOKUP($B77,'[2]MENGENLS1 27-07-2000'!$AG$7:$AH$20,2,0))</f>
        <v>0</v>
      </c>
      <c r="I77" s="109">
        <f>IF(ISNA(VLOOKUP($B77,'[2]MENGENLS1 27-07-2000'!$AJ$7:$AK$38,2,0)),0,VLOOKUP($B77,'[2]MENGENLS1 27-07-2000'!$AJ$7:$AK$38,2,0))</f>
        <v>0</v>
      </c>
      <c r="J77" s="109">
        <f>IF(ISNA(VLOOKUP($B77,'[2]MENGENLS1 27-07-2000'!$AM$7:$AN$38,2,0)),0,VLOOKUP($B77,'[2]MENGENLS1 27-07-2000'!$AM$7:$AN$38,2,0))</f>
        <v>0</v>
      </c>
      <c r="K77" s="109">
        <f>IF(ISNA(VLOOKUP($B77,'[2]MENGENLS1 27-07-2000'!$AP$7:$AQ$12,2,0)),0,VLOOKUP($B77,'[2]MENGENLS1 27-07-2000'!$AP$7:$AQ$12,2,0))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5">
      <c r="B78" s="107">
        <f t="shared" si="4"/>
        <v>39022</v>
      </c>
      <c r="C78" s="108">
        <f>IF(ISNA(VLOOKUP($B78,'[2]MENGENLS1 27-07-2000'!$R$7:$S$71,2,0)),0,VLOOKUP($B78,'[2]MENGENLS1 27-07-2000'!$R$7:$S$71,2,0))</f>
        <v>0</v>
      </c>
      <c r="D78" s="109">
        <f>IF(ISNA(VLOOKUP($B78,'[2]MENGENLS1 27-07-2000'!$U$7:$V$60,2,0)),0,VLOOKUP($B78,'[2]MENGENLS1 27-07-2000'!$U$7:$V$60,2,0))</f>
        <v>0</v>
      </c>
      <c r="E78" s="109">
        <f>IF(ISNA(VLOOKUP($B78,'[2]MENGENLS1 27-07-2000'!$X$7:$Y$27,2,0)),0,VLOOKUP($B78,'[2]MENGENLS1 27-07-2000'!$X$7:$Y$27,2,0))</f>
        <v>0</v>
      </c>
      <c r="F78" s="109">
        <f>IF(ISNA(VLOOKUP($B78,'[2]MENGENLS1 27-07-2000'!$AA$7:$AB$35,2,0)),0,VLOOKUP($B78,'[2]MENGENLS1 27-07-2000'!$AA$7:$AB$35,2,0))</f>
        <v>0</v>
      </c>
      <c r="G78" s="109">
        <f>IF(ISNA(VLOOKUP($B78,'[2]MENGENLS1 27-07-2000'!$AD$7:$AE$38,2,0)),0,VLOOKUP($B78,'[2]MENGENLS1 27-07-2000'!$AD$7:$AE$38,2,0))</f>
        <v>0</v>
      </c>
      <c r="H78" s="109">
        <f>IF(ISNA(VLOOKUP($B78,'[2]MENGENLS1 27-07-2000'!$AG$7:$AH$20,2,0)),0,VLOOKUP($B78,'[2]MENGENLS1 27-07-2000'!$AG$7:$AH$20,2,0))</f>
        <v>0</v>
      </c>
      <c r="I78" s="109">
        <f>IF(ISNA(VLOOKUP($B78,'[2]MENGENLS1 27-07-2000'!$AJ$7:$AK$38,2,0)),0,VLOOKUP($B78,'[2]MENGENLS1 27-07-2000'!$AJ$7:$AK$38,2,0))</f>
        <v>0</v>
      </c>
      <c r="J78" s="109">
        <f>IF(ISNA(VLOOKUP($B78,'[2]MENGENLS1 27-07-2000'!$AM$7:$AN$38,2,0)),0,VLOOKUP($B78,'[2]MENGENLS1 27-07-2000'!$AM$7:$AN$38,2,0))</f>
        <v>0</v>
      </c>
      <c r="K78" s="109">
        <f>IF(ISNA(VLOOKUP($B78,'[2]MENGENLS1 27-07-2000'!$AP$7:$AQ$12,2,0)),0,VLOOKUP($B78,'[2]MENGENLS1 27-07-2000'!$AP$7:$AQ$12,2,0))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5">
      <c r="B79" s="107">
        <f t="shared" si="4"/>
        <v>39052</v>
      </c>
      <c r="C79" s="108">
        <f>IF(ISNA(VLOOKUP($B79,'[2]MENGENLS1 27-07-2000'!$R$7:$S$71,2,0)),0,VLOOKUP($B79,'[2]MENGENLS1 27-07-2000'!$R$7:$S$71,2,0))</f>
        <v>-25</v>
      </c>
      <c r="D79" s="109">
        <f>IF(ISNA(VLOOKUP($B79,'[2]MENGENLS1 27-07-2000'!$U$7:$V$60,2,0)),0,VLOOKUP($B79,'[2]MENGENLS1 27-07-2000'!$U$7:$V$60,2,0))</f>
        <v>0</v>
      </c>
      <c r="E79" s="109">
        <f>IF(ISNA(VLOOKUP($B79,'[2]MENGENLS1 27-07-2000'!$X$7:$Y$27,2,0)),0,VLOOKUP($B79,'[2]MENGENLS1 27-07-2000'!$X$7:$Y$27,2,0))</f>
        <v>0</v>
      </c>
      <c r="F79" s="109">
        <f>IF(ISNA(VLOOKUP($B79,'[2]MENGENLS1 27-07-2000'!$AA$7:$AB$35,2,0)),0,VLOOKUP($B79,'[2]MENGENLS1 27-07-2000'!$AA$7:$AB$35,2,0))</f>
        <v>0</v>
      </c>
      <c r="G79" s="109">
        <f>IF(ISNA(VLOOKUP($B79,'[2]MENGENLS1 27-07-2000'!$AD$7:$AE$38,2,0)),0,VLOOKUP($B79,'[2]MENGENLS1 27-07-2000'!$AD$7:$AE$38,2,0))</f>
        <v>0</v>
      </c>
      <c r="H79" s="109">
        <f>IF(ISNA(VLOOKUP($B79,'[2]MENGENLS1 27-07-2000'!$AG$7:$AH$20,2,0)),0,VLOOKUP($B79,'[2]MENGENLS1 27-07-2000'!$AG$7:$AH$20,2,0))</f>
        <v>0</v>
      </c>
      <c r="I79" s="109">
        <f>IF(ISNA(VLOOKUP($B79,'[2]MENGENLS1 27-07-2000'!$AJ$7:$AK$38,2,0)),0,VLOOKUP($B79,'[2]MENGENLS1 27-07-2000'!$AJ$7:$AK$38,2,0))</f>
        <v>0</v>
      </c>
      <c r="J79" s="109">
        <f>IF(ISNA(VLOOKUP($B79,'[2]MENGENLS1 27-07-2000'!$AM$7:$AN$38,2,0)),0,VLOOKUP($B79,'[2]MENGENLS1 27-07-2000'!$AM$7:$AN$38,2,0))</f>
        <v>0</v>
      </c>
      <c r="K79" s="109">
        <f>IF(ISNA(VLOOKUP($B79,'[2]MENGENLS1 27-07-2000'!$AP$7:$AQ$12,2,0)),0,VLOOKUP($B79,'[2]MENGENLS1 27-07-2000'!$AP$7:$AQ$12,2,0))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5">
      <c r="B80" s="107">
        <f t="shared" si="4"/>
        <v>39083</v>
      </c>
      <c r="C80" s="108">
        <f>IF(ISNA(VLOOKUP($B80,'[2]MENGENLS1 27-07-2000'!$R$7:$S$71,2,0)),0,VLOOKUP($B80,'[2]MENGENLS1 27-07-2000'!$R$7:$S$71,2,0))</f>
        <v>0</v>
      </c>
      <c r="D80" s="109">
        <f>IF(ISNA(VLOOKUP($B80,'[2]MENGENLS1 27-07-2000'!$U$7:$V$60,2,0)),0,VLOOKUP($B80,'[2]MENGENLS1 27-07-2000'!$U$7:$V$60,2,0))</f>
        <v>0</v>
      </c>
      <c r="E80" s="109">
        <f>IF(ISNA(VLOOKUP($B80,'[2]MENGENLS1 27-07-2000'!$X$7:$Y$27,2,0)),0,VLOOKUP($B80,'[2]MENGENLS1 27-07-2000'!$X$7:$Y$27,2,0))</f>
        <v>0</v>
      </c>
      <c r="F80" s="109">
        <f>IF(ISNA(VLOOKUP($B80,'[2]MENGENLS1 27-07-2000'!$AA$7:$AB$35,2,0)),0,VLOOKUP($B80,'[2]MENGENLS1 27-07-2000'!$AA$7:$AB$35,2,0))</f>
        <v>0</v>
      </c>
      <c r="G80" s="109">
        <f>IF(ISNA(VLOOKUP($B80,'[2]MENGENLS1 27-07-2000'!$AD$7:$AE$38,2,0)),0,VLOOKUP($B80,'[2]MENGENLS1 27-07-2000'!$AD$7:$AE$38,2,0))</f>
        <v>0</v>
      </c>
      <c r="H80" s="109">
        <f>IF(ISNA(VLOOKUP($B80,'[2]MENGENLS1 27-07-2000'!$AG$7:$AH$20,2,0)),0,VLOOKUP($B80,'[2]MENGENLS1 27-07-2000'!$AG$7:$AH$20,2,0))</f>
        <v>0</v>
      </c>
      <c r="I80" s="109">
        <f>IF(ISNA(VLOOKUP($B80,'[2]MENGENLS1 27-07-2000'!$AJ$7:$AK$38,2,0)),0,VLOOKUP($B80,'[2]MENGENLS1 27-07-2000'!$AJ$7:$AK$38,2,0))</f>
        <v>0</v>
      </c>
      <c r="J80" s="109">
        <f>IF(ISNA(VLOOKUP($B80,'[2]MENGENLS1 27-07-2000'!$AM$7:$AN$38,2,0)),0,VLOOKUP($B80,'[2]MENGENLS1 27-07-2000'!$AM$7:$AN$38,2,0))</f>
        <v>0</v>
      </c>
      <c r="K80" s="109">
        <f>IF(ISNA(VLOOKUP($B80,'[2]MENGENLS1 27-07-2000'!$AP$7:$AQ$12,2,0)),0,VLOOKUP($B80,'[2]MENGENLS1 27-07-2000'!$AP$7:$AQ$12,2,0))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5">
      <c r="B82" s="107" t="s">
        <v>42</v>
      </c>
      <c r="C82" s="116">
        <f t="shared" ref="C82:N82" si="5">SUM(C2:C80)</f>
        <v>-900</v>
      </c>
      <c r="D82" s="116">
        <f t="shared" si="5"/>
        <v>35642</v>
      </c>
      <c r="E82" s="116">
        <f t="shared" si="5"/>
        <v>22306</v>
      </c>
      <c r="F82" s="116">
        <f t="shared" si="5"/>
        <v>2180</v>
      </c>
      <c r="G82" s="116">
        <f t="shared" si="5"/>
        <v>36942</v>
      </c>
      <c r="H82" s="116">
        <f t="shared" si="5"/>
        <v>1319</v>
      </c>
      <c r="I82" s="116">
        <f t="shared" si="5"/>
        <v>11718</v>
      </c>
      <c r="J82" s="116">
        <f t="shared" si="5"/>
        <v>-25498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ColWidth="9.109375" defaultRowHeight="13.8" x14ac:dyDescent="0.25"/>
  <cols>
    <col min="1" max="1" width="14" style="160" customWidth="1"/>
    <col min="2" max="2" width="13.33203125" style="160" customWidth="1"/>
    <col min="3" max="9" width="9.109375" style="160"/>
    <col min="10" max="10" width="14.44140625" style="160" bestFit="1" customWidth="1"/>
    <col min="11" max="16384" width="9.109375" style="160"/>
  </cols>
  <sheetData>
    <row r="1" spans="1:11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5">
      <c r="A12" s="170"/>
    </row>
    <row r="13" spans="1:11" ht="15" x14ac:dyDescent="0.25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5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5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5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5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5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5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5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G7" sqref="G7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2000-07-28T15:27:48Z</cp:lastPrinted>
  <dcterms:created xsi:type="dcterms:W3CDTF">1997-10-31T14:49:36Z</dcterms:created>
  <dcterms:modified xsi:type="dcterms:W3CDTF">2023-09-10T11:42:48Z</dcterms:modified>
</cp:coreProperties>
</file>