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1652" windowHeight="6756"/>
  </bookViews>
  <sheets>
    <sheet name="Inputs" sheetId="1" r:id="rId1"/>
    <sheet name="Model" sheetId="2" r:id="rId2"/>
    <sheet name="Nautical Distances" sheetId="3" r:id="rId3"/>
    <sheet name="Port Charges" sheetId="4" r:id="rId4"/>
  </sheets>
  <definedNames>
    <definedName name="assumptions">Inputs!$A$1:$K$25</definedName>
    <definedName name="cash">Model!$A$1:$AC$87</definedName>
    <definedName name="_xlnm.Print_Area" localSheetId="0">Inputs!$A$1:$N$29</definedName>
    <definedName name="_xlnm.Print_Area" localSheetId="1">Model!$A$1:$T$87</definedName>
    <definedName name="_xlnm.Print_Area" localSheetId="2">'Nautical Distances'!$A$1:$J$20</definedName>
    <definedName name="_xlnm.Print_Area" localSheetId="3">'Port Charges'!$A$1:$K$18</definedName>
  </definedNames>
  <calcPr calcId="0"/>
</workbook>
</file>

<file path=xl/calcChain.xml><?xml version="1.0" encoding="utf-8"?>
<calcChain xmlns="http://schemas.openxmlformats.org/spreadsheetml/2006/main">
  <c r="D6" i="1" l="1"/>
  <c r="D7" i="1"/>
  <c r="D8" i="1"/>
  <c r="K12" i="1"/>
  <c r="K14" i="1"/>
  <c r="D18" i="1"/>
  <c r="K19" i="1"/>
  <c r="D20" i="1"/>
  <c r="F20" i="1"/>
  <c r="K20" i="1"/>
  <c r="D21" i="1"/>
  <c r="F21" i="1"/>
  <c r="K21" i="1"/>
  <c r="D22" i="1"/>
  <c r="K22" i="1"/>
  <c r="K23" i="1"/>
  <c r="K24" i="1"/>
  <c r="K25" i="1"/>
  <c r="D27" i="1"/>
  <c r="D29" i="1"/>
  <c r="A1" i="2"/>
  <c r="A2" i="2"/>
  <c r="E4" i="2"/>
  <c r="AC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B22" i="3"/>
  <c r="C7" i="4"/>
  <c r="D7" i="4"/>
  <c r="E7" i="4"/>
  <c r="F7" i="4"/>
  <c r="G7" i="4"/>
  <c r="H7" i="4"/>
  <c r="I7" i="4"/>
  <c r="J7" i="4"/>
  <c r="K7" i="4"/>
  <c r="C8" i="4"/>
  <c r="D8" i="4"/>
  <c r="E8" i="4"/>
  <c r="F8" i="4"/>
  <c r="G8" i="4"/>
  <c r="H8" i="4"/>
  <c r="I8" i="4"/>
  <c r="J8" i="4"/>
  <c r="K8" i="4"/>
  <c r="C9" i="4"/>
  <c r="D9" i="4"/>
  <c r="E9" i="4"/>
  <c r="F9" i="4"/>
  <c r="G9" i="4"/>
  <c r="H9" i="4"/>
  <c r="I9" i="4"/>
  <c r="J9" i="4"/>
  <c r="K9" i="4"/>
  <c r="C10" i="4"/>
  <c r="D10" i="4"/>
  <c r="E10" i="4"/>
  <c r="F10" i="4"/>
  <c r="G10" i="4"/>
  <c r="H10" i="4"/>
  <c r="I10" i="4"/>
  <c r="J10" i="4"/>
  <c r="K10" i="4"/>
  <c r="C11" i="4"/>
  <c r="D11" i="4"/>
  <c r="E11" i="4"/>
  <c r="F11" i="4"/>
  <c r="G11" i="4"/>
  <c r="H11" i="4"/>
  <c r="I11" i="4"/>
  <c r="J11" i="4"/>
  <c r="K11" i="4"/>
  <c r="C12" i="4"/>
  <c r="D12" i="4"/>
  <c r="E12" i="4"/>
  <c r="F12" i="4"/>
  <c r="G12" i="4"/>
  <c r="H12" i="4"/>
  <c r="I12" i="4"/>
  <c r="J12" i="4"/>
  <c r="K12" i="4"/>
  <c r="C13" i="4"/>
  <c r="D13" i="4"/>
  <c r="E13" i="4"/>
  <c r="F13" i="4"/>
  <c r="G13" i="4"/>
  <c r="H13" i="4"/>
  <c r="I13" i="4"/>
  <c r="J13" i="4"/>
  <c r="K13" i="4"/>
  <c r="C14" i="4"/>
  <c r="D14" i="4"/>
  <c r="E14" i="4"/>
  <c r="F14" i="4"/>
  <c r="G14" i="4"/>
  <c r="H14" i="4"/>
  <c r="I14" i="4"/>
  <c r="J14" i="4"/>
  <c r="K14" i="4"/>
  <c r="C15" i="4"/>
  <c r="D15" i="4"/>
  <c r="E15" i="4"/>
  <c r="F15" i="4"/>
  <c r="G15" i="4"/>
  <c r="H15" i="4"/>
  <c r="I15" i="4"/>
  <c r="J15" i="4"/>
  <c r="K15" i="4"/>
</calcChain>
</file>

<file path=xl/sharedStrings.xml><?xml version="1.0" encoding="utf-8"?>
<sst xmlns="http://schemas.openxmlformats.org/spreadsheetml/2006/main" count="178" uniqueCount="142">
  <si>
    <t>LNG Shipping Model</t>
  </si>
  <si>
    <t>Shipping Data:</t>
  </si>
  <si>
    <t>Journey Information:</t>
  </si>
  <si>
    <r>
      <t>Ship Size (M</t>
    </r>
    <r>
      <rPr>
        <vertAlign val="superscript"/>
        <sz val="10"/>
        <rFont val="CG Times (W1)"/>
        <family val="1"/>
      </rPr>
      <t>3</t>
    </r>
    <r>
      <rPr>
        <sz val="10"/>
        <rFont val="CG Times (W1)"/>
        <family val="1"/>
      </rPr>
      <t>)</t>
    </r>
  </si>
  <si>
    <t>One-Way Distance (NM)</t>
  </si>
  <si>
    <r>
      <t>Loaded Capacity (M</t>
    </r>
    <r>
      <rPr>
        <vertAlign val="superscript"/>
        <sz val="10"/>
        <rFont val="CG Times (W1)"/>
        <family val="1"/>
      </rPr>
      <t>3</t>
    </r>
    <r>
      <rPr>
        <sz val="10"/>
        <rFont val="CG Times (W1)"/>
        <family val="1"/>
      </rPr>
      <t>)</t>
    </r>
  </si>
  <si>
    <t>Days Loading</t>
  </si>
  <si>
    <t>Ship Size (MMBTU)</t>
  </si>
  <si>
    <t>Days Unloading</t>
  </si>
  <si>
    <t>Loaded Capacity (MMBTU)</t>
  </si>
  <si>
    <t>Port Charges</t>
  </si>
  <si>
    <t>Maximum Fill Level</t>
  </si>
  <si>
    <t>Fuel Oil Cost ($/MT)</t>
  </si>
  <si>
    <t>Ship Speed (Knots)</t>
  </si>
  <si>
    <t>FOB LNG Price ($/MMBTU)</t>
  </si>
  <si>
    <t>Boil Off: Ballast</t>
  </si>
  <si>
    <t>Operating Cost</t>
  </si>
  <si>
    <t>Boil Off: Laden</t>
  </si>
  <si>
    <t>Suez Passage? (1=Yes, 0=No)</t>
  </si>
  <si>
    <t>Fuel Oil per Day @ Port</t>
  </si>
  <si>
    <t>Suez Charges</t>
  </si>
  <si>
    <t>Available Days per Year</t>
  </si>
  <si>
    <t>First Year of Operation</t>
  </si>
  <si>
    <t>Months of Operation in First Year</t>
  </si>
  <si>
    <t>Annual MT Capacity Loaded</t>
  </si>
  <si>
    <t>Annual MT Capacity Delivered</t>
  </si>
  <si>
    <t>Optimized=1, Rounded=0</t>
  </si>
  <si>
    <t>Annual MMBTU Capacity Loaded</t>
  </si>
  <si>
    <t>Travelling Days per Ship</t>
  </si>
  <si>
    <t>Annual MMBTU Capacity Delivered</t>
  </si>
  <si>
    <r>
      <t>MMBTU per M</t>
    </r>
    <r>
      <rPr>
        <vertAlign val="superscript"/>
        <sz val="10"/>
        <rFont val="CG Times (W1)"/>
        <family val="1"/>
      </rPr>
      <t>3</t>
    </r>
  </si>
  <si>
    <t>MMBTU per MT LNG</t>
  </si>
  <si>
    <t>Total Days per Trip</t>
  </si>
  <si>
    <t>MMBTU per MT Fuel Oil</t>
  </si>
  <si>
    <t>Max. Trips per Ship per Year</t>
  </si>
  <si>
    <t>Number of Cargoes Required</t>
  </si>
  <si>
    <t>Total Heel Required (M3 per Ship)</t>
  </si>
  <si>
    <t>Number of Ships Required</t>
  </si>
  <si>
    <t>Total Heel Required (MMBTU per Ship)</t>
  </si>
  <si>
    <t>Month of Operation</t>
  </si>
  <si>
    <t>Calendar Year</t>
  </si>
  <si>
    <t>Annual Operating Expense ($/Ship)</t>
  </si>
  <si>
    <t>Number of Ships</t>
  </si>
  <si>
    <t>Total Annual O&amp;M</t>
  </si>
  <si>
    <t>Annual Capital Expense ($/Ship)</t>
  </si>
  <si>
    <t>Total Annual Capital Component</t>
  </si>
  <si>
    <t>MMBTU Loaded per Ship</t>
  </si>
  <si>
    <t>Boil Off per Day: Laden</t>
  </si>
  <si>
    <t>MMBTU Boil Off per Day Laden</t>
  </si>
  <si>
    <t>Days Laden per Trip (50% of Total)</t>
  </si>
  <si>
    <t>MMBTU Boil Off per Cargo Laden</t>
  </si>
  <si>
    <t>Cargoes per Year</t>
  </si>
  <si>
    <t>Total Laden Boil Off per Year (MMBTU)</t>
  </si>
  <si>
    <t>Boil Off per Day: Ballast</t>
  </si>
  <si>
    <t>MMBTU Boil Off per Day Ballast</t>
  </si>
  <si>
    <t>Days Ballast per Trip (50% of Total)</t>
  </si>
  <si>
    <t>MMBTY Boil Off per Cargo Ballast</t>
  </si>
  <si>
    <t>Total Ballast Boil Off per Year (MMBTU)</t>
  </si>
  <si>
    <t>MMBTU of Heel per Ship</t>
  </si>
  <si>
    <t xml:space="preserve">Number of Ships Required </t>
  </si>
  <si>
    <t>Total Annual Heel MMBTU</t>
  </si>
  <si>
    <t>Boil Off per Day Ballast</t>
  </si>
  <si>
    <t>MMBTU Heel Boil Off per Day Ballast</t>
  </si>
  <si>
    <t># of Trips per Ship per Year</t>
  </si>
  <si>
    <t>Days Laden per Trip</t>
  </si>
  <si>
    <t>Total MMBTU Heel Boil Off per Year</t>
  </si>
  <si>
    <t>Total MMBTU Boil Off per Year</t>
  </si>
  <si>
    <t>Total Boil Off Cost</t>
  </si>
  <si>
    <t>Port Charges ($/Cargo)</t>
  </si>
  <si>
    <t>Total Annual Port Charges</t>
  </si>
  <si>
    <t>Total MMBTU per Year</t>
  </si>
  <si>
    <t>Suez Charges ($/MMBTU)</t>
  </si>
  <si>
    <t>Total Suez Charges</t>
  </si>
  <si>
    <t>Fuel Oil Consumption @ Sea per Cargo</t>
  </si>
  <si>
    <t>MMBTU per Tonne of Fuel Oil</t>
  </si>
  <si>
    <t>MMBTU Fuel Oil per Cargo</t>
  </si>
  <si>
    <t>MMBTU Fuel Oil per Year</t>
  </si>
  <si>
    <t>Less: BOG Laden</t>
  </si>
  <si>
    <t>Less: BOG Ballast</t>
  </si>
  <si>
    <t>Total MMBTU Fuel per Year</t>
  </si>
  <si>
    <t>Fuel Oil per Day @ Port w/o BOG</t>
  </si>
  <si>
    <t>Days @ Port per Cargo</t>
  </si>
  <si>
    <t>Fuel Oil Consumption @ Port per Cargo</t>
  </si>
  <si>
    <t>Total MMBTU Fuel Oil per Year</t>
  </si>
  <si>
    <t>Fuel Oil ($/MMBTU)</t>
  </si>
  <si>
    <t>Total Fuel Oil Cost per Year</t>
  </si>
  <si>
    <t>TOTAL ANNUAL COST</t>
  </si>
  <si>
    <r>
      <t xml:space="preserve">TOTAL ANNUAL COST </t>
    </r>
    <r>
      <rPr>
        <b/>
        <sz val="8"/>
        <rFont val="CG Times (W1)"/>
        <family val="1"/>
      </rPr>
      <t>($/mmbtu delivered)</t>
    </r>
  </si>
  <si>
    <t>Components of Cost:</t>
  </si>
  <si>
    <t>O&amp;M</t>
  </si>
  <si>
    <t>Capital</t>
  </si>
  <si>
    <t>Boil Off</t>
  </si>
  <si>
    <t>Fuel Oil</t>
  </si>
  <si>
    <t>Total</t>
  </si>
  <si>
    <t>Capital Cost (Charter)</t>
  </si>
  <si>
    <t>Shipping Cost in 2002 $/MMBTU</t>
  </si>
  <si>
    <t>Nautical Distances from LNG Facilities to Regas Ports</t>
  </si>
  <si>
    <t>LNG Aries</t>
  </si>
  <si>
    <t>From</t>
  </si>
  <si>
    <t>To</t>
  </si>
  <si>
    <t>Oman (Muscat)</t>
  </si>
  <si>
    <t>Abu Dhabi (Das Island)</t>
  </si>
  <si>
    <t>Qatar (Doha)</t>
  </si>
  <si>
    <t>Nigeria (Bonny Island)</t>
  </si>
  <si>
    <t>Algeria (Arzew)</t>
  </si>
  <si>
    <t>Algeria (Skikda)</t>
  </si>
  <si>
    <t>Angola (Luanda)</t>
  </si>
  <si>
    <t>Trinidad (Trinidad)</t>
  </si>
  <si>
    <t>Huelva (Sp.)</t>
  </si>
  <si>
    <t>Cartagena (Sp.)</t>
  </si>
  <si>
    <t>Barcelona (Sp.)</t>
  </si>
  <si>
    <t>Montoir (Fr.)</t>
  </si>
  <si>
    <t>For Sur Mer (Fr.)</t>
  </si>
  <si>
    <t>Marmarice (Tur.)</t>
  </si>
  <si>
    <t>Zeebrugge (Bel.)</t>
  </si>
  <si>
    <t>Revithousa (Grc.)</t>
  </si>
  <si>
    <t>Panigaglia (It.)</t>
  </si>
  <si>
    <t>* St. Nazaire used as proxy for Montoir in France</t>
  </si>
  <si>
    <t>** Antibes used as proxy for For Sur Mer in France</t>
  </si>
  <si>
    <t>*** Amorgos used as proxy for Revithousa in Greece</t>
  </si>
  <si>
    <t>**** Monfalcone used as proxy for Panigaglia in Italy</t>
  </si>
  <si>
    <r>
      <t>Venezuela (Jose)</t>
    </r>
    <r>
      <rPr>
        <b/>
        <i/>
        <vertAlign val="superscript"/>
        <sz val="10"/>
        <rFont val="CG Times (W1)"/>
      </rPr>
      <t>1</t>
    </r>
  </si>
  <si>
    <r>
      <t xml:space="preserve">1  </t>
    </r>
    <r>
      <rPr>
        <sz val="10"/>
        <rFont val="CG Times (W1)"/>
      </rPr>
      <t>Caripito used as a proxy for Jose; Caripito is inland, but approx. equidistant</t>
    </r>
  </si>
  <si>
    <t>Angola (Luanda) *</t>
  </si>
  <si>
    <t>Trinidad (Trinidad) **</t>
  </si>
  <si>
    <t>Venezuela (Jose) **</t>
  </si>
  <si>
    <t>* Luanda Port Charges assumed to be the same as those as Bonny Island</t>
  </si>
  <si>
    <t>** Port Charges for Trinidad and Venezuela are estimated provided by Doug Arnell</t>
  </si>
  <si>
    <t>Mystic Lady</t>
  </si>
  <si>
    <t>Oman - Dabhol</t>
  </si>
  <si>
    <r>
      <t>Fuel Oil per Day @ Sea w/o BOG (</t>
    </r>
    <r>
      <rPr>
        <b/>
        <sz val="10"/>
        <rFont val="CG Times (W1)"/>
      </rPr>
      <t>Laden)</t>
    </r>
  </si>
  <si>
    <r>
      <t xml:space="preserve">Fuel Oil per Day @ Sea w/o BOG </t>
    </r>
    <r>
      <rPr>
        <b/>
        <sz val="10"/>
        <rFont val="CG Times (W1)"/>
      </rPr>
      <t>(Ballast)</t>
    </r>
  </si>
  <si>
    <t>Fuel Oil per Day @ Sea (Laden)</t>
  </si>
  <si>
    <t>Fuel Oil per Day @ Sea (Ballast)</t>
  </si>
  <si>
    <t>Days @ Sea per Cargo (Laden)</t>
  </si>
  <si>
    <t>Days @ Sea per Cargo (Ballast)</t>
  </si>
  <si>
    <t>Newbuild ($70,000/day)</t>
  </si>
  <si>
    <t>Newbuild ($61,000/day)</t>
  </si>
  <si>
    <t>Year 1 Curve</t>
  </si>
  <si>
    <t>Average Hire Curve (Operating Costs Escalated) (falls between year 9 and year 10 hire rates)</t>
  </si>
  <si>
    <t>Tons/Cargo</t>
  </si>
  <si>
    <t>Abu Dhabi (Das Island) to Lake Charles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</si>
</sst>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.0_);_(* \(#,##0.0\);_(* &quot;-&quot;??_);_(@_)"/>
    <numFmt numFmtId="173" formatCode="_(* #,##0_);_(* \(#,##0\);_(* &quot;-&quot;??_);_(@_)"/>
    <numFmt numFmtId="174" formatCode="0.0%"/>
    <numFmt numFmtId="176" formatCode="_(&quot;$&quot;* #,##0_);_(&quot;$&quot;* \(#,##0\);_(&quot;$&quot;* &quot;-&quot;??_);_(@_)"/>
    <numFmt numFmtId="178" formatCode="_(* #,##0.000_);_(* \(#,##0.000\);_(* &quot;-&quot;??_);_(@_)"/>
    <numFmt numFmtId="180" formatCode="_(&quot;$&quot;* #,##0.000_);_(&quot;$&quot;* \(#,##0.000\);_(&quot;$&quot;* &quot;-&quot;??_);_(@_)"/>
    <numFmt numFmtId="185" formatCode="0.000"/>
  </numFmts>
  <fonts count="22">
    <font>
      <sz val="10"/>
      <name val="CG Times (W1)"/>
    </font>
    <font>
      <b/>
      <sz val="10"/>
      <name val="CG Times (W1)"/>
    </font>
    <font>
      <b/>
      <i/>
      <sz val="10"/>
      <name val="CG Times (W1)"/>
    </font>
    <font>
      <sz val="10"/>
      <name val="CG Times (W1)"/>
    </font>
    <font>
      <vertAlign val="superscript"/>
      <sz val="10"/>
      <name val="CG Times (W1)"/>
      <family val="1"/>
    </font>
    <font>
      <sz val="10"/>
      <name val="CG Times (W1)"/>
      <family val="1"/>
    </font>
    <font>
      <sz val="10"/>
      <color indexed="12"/>
      <name val="CG Times (W1)"/>
      <family val="1"/>
    </font>
    <font>
      <u val="singleAccounting"/>
      <sz val="10"/>
      <name val="CG Times (W1)"/>
      <family val="1"/>
    </font>
    <font>
      <b/>
      <sz val="14"/>
      <name val="CG Times (W1)"/>
    </font>
    <font>
      <u/>
      <sz val="10"/>
      <name val="CG Times (W1)"/>
      <family val="1"/>
    </font>
    <font>
      <sz val="10"/>
      <color indexed="8"/>
      <name val="CG Times (W1)"/>
      <family val="1"/>
    </font>
    <font>
      <b/>
      <sz val="8"/>
      <name val="CG Times (W1)"/>
      <family val="1"/>
    </font>
    <font>
      <b/>
      <i/>
      <sz val="12"/>
      <color indexed="10"/>
      <name val="CG Times (W1)"/>
    </font>
    <font>
      <b/>
      <sz val="12"/>
      <name val="CG Times (W1)"/>
    </font>
    <font>
      <vertAlign val="superscript"/>
      <sz val="10"/>
      <name val="CG Times (W1)"/>
    </font>
    <font>
      <b/>
      <i/>
      <vertAlign val="superscript"/>
      <sz val="10"/>
      <name val="CG Times (W1)"/>
    </font>
    <font>
      <b/>
      <sz val="10"/>
      <name val="Arial"/>
      <family val="2"/>
    </font>
    <font>
      <u val="singleAccounting"/>
      <sz val="10"/>
      <name val="CG Times (W1)"/>
    </font>
    <font>
      <sz val="10"/>
      <color indexed="9"/>
      <name val="CG Times (W1)"/>
    </font>
    <font>
      <b/>
      <u/>
      <sz val="10"/>
      <name val="CG Times (W1)"/>
    </font>
    <font>
      <b/>
      <u val="singleAccounting"/>
      <sz val="10"/>
      <name val="CG Times (W1)"/>
    </font>
    <font>
      <sz val="10"/>
      <color indexed="10"/>
      <name val="CG Times (W1)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5" xfId="0" quotePrefix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43" fontId="0" fillId="0" borderId="6" xfId="1" applyFont="1" applyBorder="1"/>
    <xf numFmtId="43" fontId="0" fillId="0" borderId="9" xfId="1" applyFont="1" applyBorder="1"/>
    <xf numFmtId="173" fontId="0" fillId="0" borderId="6" xfId="1" applyNumberFormat="1" applyFont="1" applyBorder="1"/>
    <xf numFmtId="173" fontId="0" fillId="0" borderId="9" xfId="1" applyNumberFormat="1" applyFont="1" applyBorder="1"/>
    <xf numFmtId="173" fontId="6" fillId="0" borderId="6" xfId="1" applyNumberFormat="1" applyFont="1" applyBorder="1"/>
    <xf numFmtId="174" fontId="6" fillId="0" borderId="6" xfId="3" applyNumberFormat="1" applyFont="1" applyBorder="1"/>
    <xf numFmtId="43" fontId="6" fillId="0" borderId="6" xfId="1" applyFont="1" applyBorder="1"/>
    <xf numFmtId="10" fontId="6" fillId="0" borderId="6" xfId="3" applyNumberFormat="1" applyFont="1" applyBorder="1"/>
    <xf numFmtId="172" fontId="6" fillId="0" borderId="6" xfId="1" applyNumberFormat="1" applyFont="1" applyBorder="1"/>
    <xf numFmtId="173" fontId="6" fillId="0" borderId="9" xfId="1" applyNumberFormat="1" applyFont="1" applyBorder="1"/>
    <xf numFmtId="0" fontId="0" fillId="0" borderId="10" xfId="0" applyBorder="1"/>
    <xf numFmtId="0" fontId="0" fillId="0" borderId="11" xfId="0" applyBorder="1"/>
    <xf numFmtId="173" fontId="0" fillId="0" borderId="0" xfId="1" applyNumberFormat="1" applyFont="1" applyBorder="1"/>
    <xf numFmtId="173" fontId="0" fillId="0" borderId="0" xfId="1" applyNumberFormat="1" applyFont="1"/>
    <xf numFmtId="176" fontId="6" fillId="0" borderId="6" xfId="2" applyNumberFormat="1" applyFont="1" applyBorder="1"/>
    <xf numFmtId="44" fontId="6" fillId="0" borderId="6" xfId="2" applyNumberFormat="1" applyFont="1" applyBorder="1"/>
    <xf numFmtId="0" fontId="6" fillId="0" borderId="6" xfId="0" applyFont="1" applyBorder="1"/>
    <xf numFmtId="173" fontId="0" fillId="0" borderId="0" xfId="0" applyNumberFormat="1"/>
    <xf numFmtId="0" fontId="6" fillId="0" borderId="2" xfId="0" applyFont="1" applyBorder="1"/>
    <xf numFmtId="43" fontId="0" fillId="0" borderId="4" xfId="1" applyFont="1" applyBorder="1"/>
    <xf numFmtId="43" fontId="7" fillId="0" borderId="6" xfId="1" applyFont="1" applyBorder="1"/>
    <xf numFmtId="43" fontId="0" fillId="0" borderId="6" xfId="0" applyNumberFormat="1" applyBorder="1"/>
    <xf numFmtId="0" fontId="8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78" fontId="0" fillId="0" borderId="0" xfId="1" applyNumberFormat="1" applyFont="1"/>
    <xf numFmtId="173" fontId="0" fillId="0" borderId="3" xfId="1" applyNumberFormat="1" applyFont="1" applyBorder="1"/>
    <xf numFmtId="173" fontId="0" fillId="0" borderId="4" xfId="1" applyNumberFormat="1" applyFont="1" applyBorder="1"/>
    <xf numFmtId="43" fontId="9" fillId="0" borderId="0" xfId="1" applyFont="1" applyBorder="1"/>
    <xf numFmtId="43" fontId="9" fillId="0" borderId="6" xfId="1" applyFont="1" applyBorder="1"/>
    <xf numFmtId="0" fontId="9" fillId="0" borderId="0" xfId="0" applyFont="1" applyBorder="1"/>
    <xf numFmtId="0" fontId="9" fillId="0" borderId="6" xfId="0" applyFont="1" applyBorder="1"/>
    <xf numFmtId="44" fontId="7" fillId="0" borderId="0" xfId="2" applyFont="1" applyBorder="1"/>
    <xf numFmtId="44" fontId="7" fillId="0" borderId="6" xfId="2" applyFont="1" applyBorder="1"/>
    <xf numFmtId="173" fontId="0" fillId="0" borderId="8" xfId="1" applyNumberFormat="1" applyFont="1" applyBorder="1"/>
    <xf numFmtId="10" fontId="9" fillId="0" borderId="0" xfId="0" applyNumberFormat="1" applyFont="1" applyBorder="1"/>
    <xf numFmtId="10" fontId="9" fillId="0" borderId="6" xfId="0" applyNumberFormat="1" applyFont="1" applyBorder="1"/>
    <xf numFmtId="43" fontId="7" fillId="0" borderId="0" xfId="1" applyNumberFormat="1" applyFont="1" applyBorder="1"/>
    <xf numFmtId="43" fontId="7" fillId="0" borderId="0" xfId="1" applyFont="1" applyBorder="1"/>
    <xf numFmtId="173" fontId="0" fillId="0" borderId="0" xfId="0" applyNumberFormat="1" applyBorder="1"/>
    <xf numFmtId="173" fontId="0" fillId="0" borderId="6" xfId="0" applyNumberFormat="1" applyBorder="1"/>
    <xf numFmtId="0" fontId="0" fillId="0" borderId="10" xfId="0" quotePrefix="1" applyBorder="1" applyAlignment="1">
      <alignment horizontal="left"/>
    </xf>
    <xf numFmtId="43" fontId="7" fillId="0" borderId="0" xfId="0" applyNumberFormat="1" applyFont="1" applyBorder="1"/>
    <xf numFmtId="43" fontId="7" fillId="0" borderId="6" xfId="0" applyNumberFormat="1" applyFont="1" applyBorder="1"/>
    <xf numFmtId="0" fontId="0" fillId="0" borderId="7" xfId="0" quotePrefix="1" applyBorder="1" applyAlignment="1">
      <alignment horizontal="left"/>
    </xf>
    <xf numFmtId="173" fontId="0" fillId="0" borderId="5" xfId="1" applyNumberFormat="1" applyFont="1" applyBorder="1"/>
    <xf numFmtId="173" fontId="7" fillId="0" borderId="0" xfId="0" applyNumberFormat="1" applyFont="1" applyBorder="1"/>
    <xf numFmtId="173" fontId="7" fillId="0" borderId="6" xfId="0" applyNumberFormat="1" applyFont="1" applyBorder="1"/>
    <xf numFmtId="0" fontId="1" fillId="0" borderId="1" xfId="0" applyFont="1" applyBorder="1"/>
    <xf numFmtId="0" fontId="1" fillId="0" borderId="11" xfId="0" applyFont="1" applyBorder="1"/>
    <xf numFmtId="173" fontId="1" fillId="0" borderId="11" xfId="0" applyNumberFormat="1" applyFont="1" applyBorder="1"/>
    <xf numFmtId="173" fontId="1" fillId="0" borderId="2" xfId="0" applyNumberFormat="1" applyFont="1" applyBorder="1"/>
    <xf numFmtId="0" fontId="1" fillId="0" borderId="1" xfId="0" quotePrefix="1" applyFont="1" applyBorder="1" applyAlignment="1">
      <alignment horizontal="left"/>
    </xf>
    <xf numFmtId="178" fontId="1" fillId="0" borderId="11" xfId="1" applyNumberFormat="1" applyFont="1" applyBorder="1"/>
    <xf numFmtId="178" fontId="1" fillId="0" borderId="2" xfId="1" applyNumberFormat="1" applyFont="1" applyBorder="1"/>
    <xf numFmtId="178" fontId="1" fillId="0" borderId="0" xfId="1" applyNumberFormat="1" applyFont="1"/>
    <xf numFmtId="178" fontId="0" fillId="0" borderId="0" xfId="0" applyNumberFormat="1"/>
    <xf numFmtId="178" fontId="0" fillId="0" borderId="0" xfId="1" applyNumberFormat="1" applyFont="1" applyBorder="1"/>
    <xf numFmtId="178" fontId="0" fillId="0" borderId="6" xfId="1" applyNumberFormat="1" applyFont="1" applyBorder="1"/>
    <xf numFmtId="178" fontId="7" fillId="0" borderId="0" xfId="1" applyNumberFormat="1" applyFont="1" applyBorder="1"/>
    <xf numFmtId="178" fontId="7" fillId="0" borderId="6" xfId="1" applyNumberFormat="1" applyFont="1" applyBorder="1"/>
    <xf numFmtId="178" fontId="0" fillId="0" borderId="8" xfId="1" applyNumberFormat="1" applyFont="1" applyBorder="1"/>
    <xf numFmtId="178" fontId="0" fillId="0" borderId="9" xfId="1" applyNumberFormat="1" applyFont="1" applyBorder="1"/>
    <xf numFmtId="0" fontId="12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10" fontId="0" fillId="0" borderId="0" xfId="3" applyNumberFormat="1" applyFont="1" applyBorder="1"/>
    <xf numFmtId="173" fontId="10" fillId="0" borderId="6" xfId="1" applyNumberFormat="1" applyFont="1" applyBorder="1"/>
    <xf numFmtId="180" fontId="1" fillId="0" borderId="2" xfId="2" applyNumberFormat="1" applyFont="1" applyBorder="1"/>
    <xf numFmtId="0" fontId="1" fillId="0" borderId="0" xfId="0" applyFont="1"/>
    <xf numFmtId="1" fontId="9" fillId="0" borderId="0" xfId="0" applyNumberFormat="1" applyFont="1" applyBorder="1"/>
    <xf numFmtId="0" fontId="0" fillId="0" borderId="0" xfId="0" quotePrefix="1" applyAlignment="1">
      <alignment horizontal="left"/>
    </xf>
    <xf numFmtId="173" fontId="7" fillId="0" borderId="0" xfId="0" applyNumberFormat="1" applyFont="1"/>
    <xf numFmtId="173" fontId="9" fillId="0" borderId="0" xfId="1" applyNumberFormat="1" applyFont="1" applyBorder="1"/>
    <xf numFmtId="10" fontId="9" fillId="0" borderId="0" xfId="3" applyNumberFormat="1" applyFont="1" applyBorder="1"/>
    <xf numFmtId="0" fontId="13" fillId="0" borderId="0" xfId="0" applyFont="1"/>
    <xf numFmtId="0" fontId="2" fillId="0" borderId="0" xfId="0" applyFont="1"/>
    <xf numFmtId="0" fontId="1" fillId="0" borderId="12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13" xfId="0" applyFont="1" applyBorder="1"/>
    <xf numFmtId="0" fontId="1" fillId="0" borderId="12" xfId="0" applyFont="1" applyBorder="1" applyAlignment="1">
      <alignment horizontal="center"/>
    </xf>
    <xf numFmtId="0" fontId="0" fillId="0" borderId="14" xfId="0" applyBorder="1"/>
    <xf numFmtId="3" fontId="1" fillId="0" borderId="17" xfId="0" applyNumberFormat="1" applyFont="1" applyBorder="1" applyAlignment="1">
      <alignment horizontal="center"/>
    </xf>
    <xf numFmtId="3" fontId="1" fillId="0" borderId="18" xfId="0" applyNumberFormat="1" applyFont="1" applyBorder="1" applyAlignment="1">
      <alignment horizontal="center"/>
    </xf>
    <xf numFmtId="3" fontId="1" fillId="0" borderId="19" xfId="0" applyNumberFormat="1" applyFont="1" applyBorder="1" applyAlignment="1">
      <alignment horizontal="center"/>
    </xf>
    <xf numFmtId="3" fontId="1" fillId="0" borderId="16" xfId="0" applyNumberFormat="1" applyFont="1" applyBorder="1" applyAlignment="1">
      <alignment horizontal="center"/>
    </xf>
    <xf numFmtId="3" fontId="1" fillId="0" borderId="20" xfId="0" applyNumberFormat="1" applyFont="1" applyBorder="1" applyAlignment="1">
      <alignment horizontal="center"/>
    </xf>
    <xf numFmtId="3" fontId="1" fillId="0" borderId="21" xfId="0" applyNumberFormat="1" applyFont="1" applyBorder="1" applyAlignment="1">
      <alignment horizontal="center"/>
    </xf>
    <xf numFmtId="43" fontId="0" fillId="0" borderId="0" xfId="0" applyNumberFormat="1"/>
    <xf numFmtId="180" fontId="0" fillId="0" borderId="6" xfId="2" applyNumberFormat="1" applyFont="1" applyBorder="1"/>
    <xf numFmtId="185" fontId="0" fillId="0" borderId="0" xfId="0" applyNumberFormat="1"/>
    <xf numFmtId="43" fontId="3" fillId="0" borderId="0" xfId="0" applyNumberFormat="1" applyFont="1" applyBorder="1"/>
    <xf numFmtId="43" fontId="17" fillId="0" borderId="0" xfId="0" applyNumberFormat="1" applyFont="1" applyBorder="1"/>
    <xf numFmtId="0" fontId="0" fillId="0" borderId="22" xfId="0" applyBorder="1"/>
    <xf numFmtId="178" fontId="16" fillId="0" borderId="0" xfId="1" applyNumberFormat="1" applyFont="1" applyBorder="1" applyAlignment="1">
      <alignment horizontal="center"/>
    </xf>
    <xf numFmtId="185" fontId="1" fillId="0" borderId="0" xfId="0" applyNumberFormat="1" applyFont="1" applyBorder="1" applyAlignment="1">
      <alignment horizontal="center"/>
    </xf>
    <xf numFmtId="0" fontId="16" fillId="0" borderId="22" xfId="0" applyFont="1" applyBorder="1"/>
    <xf numFmtId="180" fontId="0" fillId="0" borderId="0" xfId="2" applyNumberFormat="1" applyFont="1" applyBorder="1" applyAlignment="1">
      <alignment horizontal="center"/>
    </xf>
    <xf numFmtId="180" fontId="0" fillId="0" borderId="23" xfId="2" applyNumberFormat="1" applyFont="1" applyBorder="1" applyAlignment="1">
      <alignment horizontal="center"/>
    </xf>
    <xf numFmtId="0" fontId="0" fillId="0" borderId="23" xfId="0" applyBorder="1"/>
    <xf numFmtId="0" fontId="16" fillId="0" borderId="0" xfId="0" applyFont="1" applyBorder="1" applyAlignment="1">
      <alignment horizontal="center"/>
    </xf>
    <xf numFmtId="180" fontId="0" fillId="0" borderId="0" xfId="2" applyNumberFormat="1" applyFont="1" applyBorder="1"/>
    <xf numFmtId="185" fontId="1" fillId="0" borderId="0" xfId="0" applyNumberFormat="1" applyFont="1" applyBorder="1"/>
    <xf numFmtId="180" fontId="1" fillId="0" borderId="0" xfId="2" applyNumberFormat="1" applyFont="1" applyBorder="1"/>
    <xf numFmtId="0" fontId="16" fillId="0" borderId="17" xfId="0" applyFont="1" applyBorder="1"/>
    <xf numFmtId="180" fontId="0" fillId="0" borderId="18" xfId="2" applyNumberFormat="1" applyFont="1" applyBorder="1"/>
    <xf numFmtId="180" fontId="3" fillId="0" borderId="0" xfId="2" applyNumberFormat="1" applyFont="1" applyBorder="1"/>
    <xf numFmtId="0" fontId="16" fillId="0" borderId="0" xfId="0" applyFont="1" applyBorder="1"/>
    <xf numFmtId="180" fontId="3" fillId="0" borderId="0" xfId="2" applyNumberFormat="1" applyFont="1" applyBorder="1" applyAlignment="1">
      <alignment horizontal="center"/>
    </xf>
    <xf numFmtId="185" fontId="1" fillId="0" borderId="23" xfId="0" applyNumberFormat="1" applyFont="1" applyBorder="1"/>
    <xf numFmtId="180" fontId="0" fillId="0" borderId="23" xfId="2" applyNumberFormat="1" applyFont="1" applyBorder="1"/>
    <xf numFmtId="180" fontId="0" fillId="0" borderId="19" xfId="2" applyNumberFormat="1" applyFont="1" applyBorder="1"/>
    <xf numFmtId="2" fontId="0" fillId="0" borderId="0" xfId="0" applyNumberFormat="1"/>
    <xf numFmtId="0" fontId="18" fillId="0" borderId="0" xfId="0" applyFont="1"/>
    <xf numFmtId="0" fontId="1" fillId="2" borderId="10" xfId="0" applyFont="1" applyFill="1" applyBorder="1"/>
    <xf numFmtId="0" fontId="1" fillId="2" borderId="3" xfId="0" applyFont="1" applyFill="1" applyBorder="1"/>
    <xf numFmtId="0" fontId="19" fillId="2" borderId="24" xfId="0" applyFont="1" applyFill="1" applyBorder="1" applyAlignment="1"/>
    <xf numFmtId="0" fontId="1" fillId="2" borderId="5" xfId="0" applyFont="1" applyFill="1" applyBorder="1"/>
    <xf numFmtId="0" fontId="1" fillId="2" borderId="0" xfId="0" applyFont="1" applyFill="1" applyBorder="1"/>
    <xf numFmtId="178" fontId="1" fillId="2" borderId="25" xfId="1" applyNumberFormat="1" applyFont="1" applyFill="1" applyBorder="1" applyAlignment="1"/>
    <xf numFmtId="178" fontId="1" fillId="2" borderId="0" xfId="1" applyNumberFormat="1" applyFont="1" applyFill="1" applyBorder="1"/>
    <xf numFmtId="178" fontId="20" fillId="2" borderId="25" xfId="1" applyNumberFormat="1" applyFont="1" applyFill="1" applyBorder="1" applyAlignment="1"/>
    <xf numFmtId="178" fontId="20" fillId="2" borderId="0" xfId="1" applyNumberFormat="1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178" fontId="1" fillId="2" borderId="26" xfId="1" applyNumberFormat="1" applyFont="1" applyFill="1" applyBorder="1" applyAlignment="1"/>
    <xf numFmtId="178" fontId="1" fillId="2" borderId="8" xfId="1" applyNumberFormat="1" applyFont="1" applyFill="1" applyBorder="1"/>
    <xf numFmtId="3" fontId="0" fillId="0" borderId="0" xfId="0" applyNumberFormat="1"/>
    <xf numFmtId="43" fontId="21" fillId="0" borderId="0" xfId="0" applyNumberFormat="1" applyFont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5</xdr:row>
          <xdr:rowOff>144780</xdr:rowOff>
        </xdr:from>
        <xdr:to>
          <xdr:col>12</xdr:col>
          <xdr:colOff>601980</xdr:colOff>
          <xdr:row>8</xdr:row>
          <xdr:rowOff>60960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G Times (W1)"/>
                </a:rPr>
                <a:t>Print Macro</a:t>
              </a:r>
            </a:p>
          </xdr:txBody>
        </xdr:sp>
        <xdr:clientData fPrintsWithSheet="0"/>
      </xdr:twoCellAnchor>
    </mc:Choice>
    <mc:Fallback/>
  </mc:AlternateContent>
  <xdr:oneCellAnchor>
    <xdr:from>
      <xdr:col>19</xdr:col>
      <xdr:colOff>129540</xdr:colOff>
      <xdr:row>61</xdr:row>
      <xdr:rowOff>129540</xdr:rowOff>
    </xdr:from>
    <xdr:ext cx="76200" cy="198120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15979140" y="105994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71"/>
  <sheetViews>
    <sheetView showGridLines="0" tabSelected="1" workbookViewId="0"/>
  </sheetViews>
  <sheetFormatPr defaultRowHeight="13.2"/>
  <cols>
    <col min="2" max="2" width="27.77734375" customWidth="1"/>
    <col min="3" max="3" width="13.6640625" customWidth="1"/>
    <col min="4" max="4" width="12.44140625" customWidth="1"/>
    <col min="9" max="9" width="13" bestFit="1" customWidth="1"/>
    <col min="10" max="10" width="14" customWidth="1"/>
    <col min="11" max="11" width="12.44140625" customWidth="1"/>
    <col min="14" max="14" width="13" bestFit="1" customWidth="1"/>
    <col min="15" max="15" width="26.109375" bestFit="1" customWidth="1"/>
    <col min="16" max="16" width="9.77734375" bestFit="1" customWidth="1"/>
    <col min="21" max="21" width="14.109375" bestFit="1" customWidth="1"/>
    <col min="23" max="23" width="25.44140625" bestFit="1" customWidth="1"/>
    <col min="29" max="29" width="14.109375" bestFit="1" customWidth="1"/>
  </cols>
  <sheetData>
    <row r="1" spans="1:12" ht="17.399999999999999">
      <c r="A1" s="34" t="s">
        <v>0</v>
      </c>
      <c r="B1" s="35"/>
      <c r="C1" s="35"/>
      <c r="D1" s="35"/>
      <c r="E1" s="35"/>
      <c r="F1" s="35"/>
      <c r="G1" s="35"/>
    </row>
    <row r="2" spans="1:12" ht="17.399999999999999">
      <c r="A2" s="34" t="s">
        <v>141</v>
      </c>
      <c r="B2" s="35"/>
      <c r="C2" s="35"/>
      <c r="D2" s="35"/>
      <c r="E2" s="35"/>
      <c r="F2" s="35"/>
      <c r="G2" s="35"/>
    </row>
    <row r="3" spans="1:12" ht="16.2">
      <c r="A3" s="74"/>
      <c r="B3" s="75"/>
      <c r="C3" s="75"/>
      <c r="D3" s="75"/>
      <c r="E3" s="75"/>
      <c r="F3" s="75"/>
      <c r="G3" s="75"/>
    </row>
    <row r="4" spans="1:12">
      <c r="A4" s="1" t="s">
        <v>1</v>
      </c>
      <c r="B4" s="2"/>
      <c r="C4" s="3"/>
      <c r="D4" s="4"/>
      <c r="E4" s="6"/>
      <c r="F4" s="1" t="s">
        <v>2</v>
      </c>
      <c r="G4" s="23"/>
      <c r="H4" s="2"/>
      <c r="I4" s="3"/>
      <c r="J4" s="3"/>
      <c r="K4" s="4"/>
    </row>
    <row r="5" spans="1:12" ht="15.6">
      <c r="A5" s="5" t="s">
        <v>3</v>
      </c>
      <c r="B5" s="6"/>
      <c r="C5" s="6"/>
      <c r="D5" s="16">
        <v>87600</v>
      </c>
      <c r="E5" s="6"/>
      <c r="F5" s="5" t="s">
        <v>4</v>
      </c>
      <c r="G5" s="6"/>
      <c r="H5" s="6"/>
      <c r="I5" s="6"/>
      <c r="J5" s="6"/>
      <c r="K5" s="16">
        <v>4657</v>
      </c>
    </row>
    <row r="6" spans="1:12" ht="15.6">
      <c r="A6" s="8" t="s">
        <v>5</v>
      </c>
      <c r="B6" s="6"/>
      <c r="C6" s="6"/>
      <c r="D6" s="14">
        <f>+D5*D9</f>
        <v>86724</v>
      </c>
      <c r="E6" s="6"/>
      <c r="F6" s="5" t="s">
        <v>6</v>
      </c>
      <c r="G6" s="6"/>
      <c r="H6" s="6"/>
      <c r="I6" s="6"/>
      <c r="J6" s="6"/>
      <c r="K6" s="20">
        <v>1</v>
      </c>
    </row>
    <row r="7" spans="1:12">
      <c r="A7" s="8" t="s">
        <v>7</v>
      </c>
      <c r="B7" s="6"/>
      <c r="C7" s="6"/>
      <c r="D7" s="14">
        <f>+D5*D22</f>
        <v>2029085.808</v>
      </c>
      <c r="E7" s="6"/>
      <c r="F7" s="5" t="s">
        <v>8</v>
      </c>
      <c r="G7" s="6"/>
      <c r="H7" s="6"/>
      <c r="I7" s="6"/>
      <c r="J7" s="6"/>
      <c r="K7" s="20">
        <v>1</v>
      </c>
    </row>
    <row r="8" spans="1:12">
      <c r="A8" s="8" t="s">
        <v>9</v>
      </c>
      <c r="B8" s="6"/>
      <c r="C8" s="6"/>
      <c r="D8" s="14">
        <f>+D6*D22</f>
        <v>2008794.94992</v>
      </c>
      <c r="E8" s="6"/>
      <c r="F8" s="5" t="s">
        <v>10</v>
      </c>
      <c r="G8" s="6"/>
      <c r="H8" s="6"/>
      <c r="I8" s="6">
        <v>2002</v>
      </c>
      <c r="J8" s="76">
        <v>0</v>
      </c>
      <c r="K8" s="26">
        <v>95000</v>
      </c>
    </row>
    <row r="9" spans="1:12">
      <c r="A9" s="5" t="s">
        <v>11</v>
      </c>
      <c r="B9" s="6"/>
      <c r="C9" s="6"/>
      <c r="D9" s="17">
        <v>0.99</v>
      </c>
      <c r="E9" s="6"/>
      <c r="F9" s="5" t="s">
        <v>12</v>
      </c>
      <c r="G9" s="6"/>
      <c r="H9" s="6"/>
      <c r="I9" s="6">
        <v>2002</v>
      </c>
      <c r="J9" s="76">
        <v>0</v>
      </c>
      <c r="K9" s="27">
        <v>150</v>
      </c>
    </row>
    <row r="10" spans="1:12">
      <c r="A10" s="5" t="s">
        <v>13</v>
      </c>
      <c r="B10" s="6"/>
      <c r="C10" s="6"/>
      <c r="D10" s="18">
        <v>17.5</v>
      </c>
      <c r="E10" s="6"/>
      <c r="F10" s="5" t="s">
        <v>14</v>
      </c>
      <c r="G10" s="6"/>
      <c r="H10" s="6"/>
      <c r="I10" s="6">
        <v>2002</v>
      </c>
      <c r="J10" s="76">
        <v>1.2500000000000001E-2</v>
      </c>
      <c r="K10" s="27">
        <v>0.89</v>
      </c>
    </row>
    <row r="11" spans="1:12">
      <c r="A11" s="5" t="s">
        <v>15</v>
      </c>
      <c r="B11" s="6"/>
      <c r="C11" s="6"/>
      <c r="D11" s="19">
        <v>2.5000000000000001E-3</v>
      </c>
      <c r="F11" s="5" t="s">
        <v>16</v>
      </c>
      <c r="G11" s="6"/>
      <c r="H11" s="6"/>
      <c r="I11" s="6">
        <v>2002</v>
      </c>
      <c r="J11" s="76">
        <v>0.03</v>
      </c>
      <c r="K11" s="26">
        <v>0</v>
      </c>
    </row>
    <row r="12" spans="1:12">
      <c r="A12" s="8" t="s">
        <v>17</v>
      </c>
      <c r="B12" s="6"/>
      <c r="C12" s="6"/>
      <c r="D12" s="19">
        <v>2.5000000000000001E-3</v>
      </c>
      <c r="F12" s="5" t="s">
        <v>94</v>
      </c>
      <c r="G12" s="6"/>
      <c r="H12" s="6"/>
      <c r="I12" s="6">
        <v>2002</v>
      </c>
      <c r="J12" s="76">
        <v>0</v>
      </c>
      <c r="K12" s="26">
        <f>30000*360</f>
        <v>10800000</v>
      </c>
    </row>
    <row r="13" spans="1:12">
      <c r="A13" s="5" t="s">
        <v>132</v>
      </c>
      <c r="B13" s="6"/>
      <c r="C13" s="6"/>
      <c r="D13" s="16">
        <v>145</v>
      </c>
      <c r="F13" s="5" t="s">
        <v>18</v>
      </c>
      <c r="G13" s="6"/>
      <c r="H13" s="6"/>
      <c r="I13" s="6"/>
      <c r="J13" s="6"/>
      <c r="K13" s="28">
        <v>1</v>
      </c>
    </row>
    <row r="14" spans="1:12">
      <c r="A14" s="5" t="s">
        <v>133</v>
      </c>
      <c r="B14" s="6"/>
      <c r="C14" s="6"/>
      <c r="D14" s="16">
        <v>140</v>
      </c>
      <c r="F14" s="5" t="s">
        <v>20</v>
      </c>
      <c r="G14" s="6"/>
      <c r="H14" s="6"/>
      <c r="I14" s="6">
        <v>2002</v>
      </c>
      <c r="J14" s="76">
        <v>0.03</v>
      </c>
      <c r="K14" s="107">
        <f>IF(K13=0,0,(525000/(D8*(1-(D11*K22)))))</f>
        <v>0.28102227609380437</v>
      </c>
      <c r="L14" s="145"/>
    </row>
    <row r="15" spans="1:12">
      <c r="A15" s="5" t="s">
        <v>19</v>
      </c>
      <c r="B15" s="6"/>
      <c r="C15" s="6"/>
      <c r="D15" s="14">
        <v>40</v>
      </c>
      <c r="F15" s="5" t="s">
        <v>22</v>
      </c>
      <c r="G15" s="6"/>
      <c r="H15" s="6"/>
      <c r="I15" s="6"/>
      <c r="J15" s="6"/>
      <c r="K15" s="7">
        <v>2002</v>
      </c>
    </row>
    <row r="16" spans="1:12">
      <c r="A16" s="9" t="s">
        <v>21</v>
      </c>
      <c r="B16" s="10"/>
      <c r="C16" s="10"/>
      <c r="D16" s="21">
        <v>360</v>
      </c>
      <c r="F16" s="9" t="s">
        <v>23</v>
      </c>
      <c r="G16" s="10"/>
      <c r="H16" s="10"/>
      <c r="I16" s="10"/>
      <c r="J16" s="10"/>
      <c r="K16" s="11">
        <v>12</v>
      </c>
    </row>
    <row r="17" spans="1:14">
      <c r="E17" s="25"/>
      <c r="N17" s="67"/>
    </row>
    <row r="18" spans="1:14">
      <c r="A18" s="22" t="s">
        <v>24</v>
      </c>
      <c r="B18" s="3"/>
      <c r="C18" s="3"/>
      <c r="D18" s="38">
        <f>+D20/D23</f>
        <v>490306.77100459568</v>
      </c>
      <c r="F18" s="1" t="s">
        <v>26</v>
      </c>
      <c r="G18" s="23"/>
      <c r="H18" s="23"/>
      <c r="I18" s="23"/>
      <c r="J18" s="23"/>
      <c r="K18" s="30">
        <v>1</v>
      </c>
      <c r="N18" s="106"/>
    </row>
    <row r="19" spans="1:14">
      <c r="A19" s="5" t="s">
        <v>25</v>
      </c>
      <c r="B19" s="6"/>
      <c r="C19" s="6"/>
      <c r="D19" s="16">
        <v>460000</v>
      </c>
      <c r="E19" s="25"/>
      <c r="F19" s="22" t="s">
        <v>28</v>
      </c>
      <c r="G19" s="3"/>
      <c r="H19" s="3"/>
      <c r="I19" s="3"/>
      <c r="J19" s="6"/>
      <c r="K19" s="31">
        <f>+K5/D10*2/24+IF(K13=1,3,0)</f>
        <v>25.176190476190474</v>
      </c>
    </row>
    <row r="20" spans="1:14">
      <c r="A20" s="5" t="s">
        <v>27</v>
      </c>
      <c r="B20" s="6"/>
      <c r="C20" s="6"/>
      <c r="D20" s="51">
        <f>+D21+Model!F40</f>
        <v>25348860.060937598</v>
      </c>
      <c r="F20" s="5" t="str">
        <f>+F6</f>
        <v>Days Loading</v>
      </c>
      <c r="G20" s="6"/>
      <c r="H20" s="6"/>
      <c r="I20" s="6"/>
      <c r="J20" s="6"/>
      <c r="K20" s="12">
        <f>+K6</f>
        <v>1</v>
      </c>
    </row>
    <row r="21" spans="1:14" ht="17.25" customHeight="1">
      <c r="A21" s="5" t="s">
        <v>29</v>
      </c>
      <c r="B21" s="6"/>
      <c r="C21" s="6"/>
      <c r="D21" s="77">
        <f>+D19*D23</f>
        <v>23782000</v>
      </c>
      <c r="F21" s="5" t="str">
        <f>+F7</f>
        <v>Days Unloading</v>
      </c>
      <c r="G21" s="6"/>
      <c r="H21" s="6"/>
      <c r="I21" s="6"/>
      <c r="J21" s="6"/>
      <c r="K21" s="32">
        <f>+K7</f>
        <v>1</v>
      </c>
    </row>
    <row r="22" spans="1:14" ht="12.75" customHeight="1">
      <c r="A22" s="5" t="s">
        <v>30</v>
      </c>
      <c r="B22" s="6"/>
      <c r="C22" s="6"/>
      <c r="D22" s="28">
        <f>2895385/125000</f>
        <v>23.163080000000001</v>
      </c>
      <c r="F22" s="5" t="s">
        <v>32</v>
      </c>
      <c r="G22" s="6"/>
      <c r="H22" s="6"/>
      <c r="I22" s="6"/>
      <c r="J22" s="6"/>
      <c r="K22" s="33">
        <f>ROUNDUP(SUM(K19:K21),0)</f>
        <v>28</v>
      </c>
    </row>
    <row r="23" spans="1:14">
      <c r="A23" s="8" t="s">
        <v>31</v>
      </c>
      <c r="B23" s="6"/>
      <c r="C23" s="6"/>
      <c r="D23" s="28">
        <v>51.7</v>
      </c>
      <c r="F23" s="5" t="s">
        <v>34</v>
      </c>
      <c r="G23" s="6"/>
      <c r="H23" s="6"/>
      <c r="I23" s="6"/>
      <c r="J23" s="6"/>
      <c r="K23" s="12">
        <f>ROUNDDOWN(IF(K18=1,D16/K22,ROUNDDOWN(+D16/K22,0)),0)</f>
        <v>12</v>
      </c>
    </row>
    <row r="24" spans="1:14">
      <c r="A24" s="9" t="s">
        <v>33</v>
      </c>
      <c r="B24" s="10"/>
      <c r="C24" s="10"/>
      <c r="D24" s="11">
        <v>42.5</v>
      </c>
      <c r="F24" s="5" t="s">
        <v>35</v>
      </c>
      <c r="G24" s="6"/>
      <c r="H24" s="6"/>
      <c r="I24" s="6"/>
      <c r="J24" s="6"/>
      <c r="K24" s="12">
        <f>ROUNDUP(IF(K18=1,D21/D8,ROUNDUP(D21/D8,0.5)),0)</f>
        <v>12</v>
      </c>
    </row>
    <row r="25" spans="1:14">
      <c r="F25" s="9" t="s">
        <v>37</v>
      </c>
      <c r="G25" s="10"/>
      <c r="H25" s="10"/>
      <c r="I25" s="10"/>
      <c r="J25" s="10"/>
      <c r="K25" s="13">
        <f>IF(K18=1,K24/K23,ROUNDUP(K24/K23,0.5))</f>
        <v>1</v>
      </c>
    </row>
    <row r="26" spans="1:14">
      <c r="A26" t="s">
        <v>36</v>
      </c>
      <c r="D26">
        <v>523</v>
      </c>
      <c r="K26" s="130"/>
    </row>
    <row r="27" spans="1:14">
      <c r="A27" s="81" t="s">
        <v>38</v>
      </c>
      <c r="D27" s="25">
        <f>+D26*D22</f>
        <v>12114.29084</v>
      </c>
      <c r="F27" s="108"/>
      <c r="K27" s="146"/>
      <c r="L27" s="131" t="s">
        <v>140</v>
      </c>
    </row>
    <row r="28" spans="1:14">
      <c r="K28" s="106"/>
    </row>
    <row r="29" spans="1:14">
      <c r="A29" s="59" t="s">
        <v>95</v>
      </c>
      <c r="B29" s="60"/>
      <c r="C29" s="60"/>
      <c r="D29" s="78">
        <f>+Model!D87</f>
        <v>0.8956640691100991</v>
      </c>
      <c r="K29" s="106"/>
    </row>
    <row r="30" spans="1:14">
      <c r="K30" s="106"/>
    </row>
    <row r="64" spans="2:9">
      <c r="B64" s="125"/>
      <c r="C64" s="119"/>
      <c r="D64" s="119"/>
      <c r="E64" s="119"/>
      <c r="F64" s="119"/>
      <c r="G64" s="119"/>
      <c r="H64" s="119"/>
      <c r="I64" s="124"/>
    </row>
    <row r="65" spans="2:9">
      <c r="B65" s="125"/>
      <c r="C65" s="119"/>
      <c r="D65" s="119"/>
      <c r="E65" s="119"/>
      <c r="F65" s="119"/>
      <c r="G65" s="119"/>
      <c r="H65" s="119"/>
      <c r="I65" s="119"/>
    </row>
    <row r="66" spans="2:9">
      <c r="B66" s="95"/>
      <c r="C66" s="119"/>
      <c r="D66" s="119"/>
      <c r="E66" s="119"/>
      <c r="F66" s="119"/>
      <c r="G66" s="119"/>
      <c r="H66" s="119"/>
      <c r="I66" s="119"/>
    </row>
    <row r="67" spans="2:9" ht="13.5" customHeight="1">
      <c r="B67" s="6"/>
      <c r="C67" s="6"/>
      <c r="D67" s="6"/>
      <c r="E67" s="6"/>
      <c r="F67" s="6"/>
      <c r="G67" s="6"/>
      <c r="H67" s="6"/>
      <c r="I67" s="6"/>
    </row>
    <row r="68" spans="2:9">
      <c r="B68" s="6"/>
      <c r="C68" s="6"/>
      <c r="D68" s="6"/>
      <c r="E68" s="6"/>
      <c r="F68" s="6"/>
      <c r="G68" s="6"/>
      <c r="H68" s="6"/>
      <c r="I68" s="6"/>
    </row>
    <row r="69" spans="2:9">
      <c r="B69" s="95"/>
      <c r="C69" s="118"/>
      <c r="D69" s="118"/>
      <c r="E69" s="118"/>
      <c r="F69" s="118"/>
      <c r="G69" s="6"/>
      <c r="H69" s="6"/>
      <c r="I69" s="6"/>
    </row>
    <row r="70" spans="2:9">
      <c r="B70" s="6"/>
      <c r="C70" s="112"/>
      <c r="D70" s="113"/>
      <c r="E70" s="112"/>
      <c r="F70" s="113"/>
      <c r="G70" s="112"/>
      <c r="H70" s="112"/>
      <c r="I70" s="112"/>
    </row>
    <row r="71" spans="2:9">
      <c r="B71" s="125"/>
      <c r="C71" s="119"/>
      <c r="D71" s="119"/>
      <c r="E71" s="124"/>
      <c r="F71" s="124"/>
      <c r="G71" s="121"/>
      <c r="H71" s="119"/>
      <c r="I71" s="6"/>
    </row>
    <row r="72" spans="2:9">
      <c r="B72" s="125"/>
      <c r="C72" s="119"/>
      <c r="D72" s="119"/>
      <c r="E72" s="119"/>
      <c r="F72" s="119"/>
      <c r="G72" s="119"/>
      <c r="H72" s="119"/>
      <c r="I72" s="124"/>
    </row>
    <row r="73" spans="2:9">
      <c r="B73" s="125"/>
      <c r="C73" s="119"/>
      <c r="D73" s="119"/>
      <c r="E73" s="119"/>
      <c r="F73" s="119"/>
      <c r="G73" s="119"/>
      <c r="H73" s="119"/>
      <c r="I73" s="119"/>
    </row>
    <row r="74" spans="2:9">
      <c r="B74" s="125"/>
      <c r="C74" s="119"/>
      <c r="D74" s="119"/>
      <c r="E74" s="119"/>
      <c r="F74" s="119"/>
      <c r="G74" s="119"/>
      <c r="H74" s="119"/>
      <c r="I74" s="119"/>
    </row>
    <row r="75" spans="2:9">
      <c r="B75" s="6"/>
      <c r="C75" s="6"/>
      <c r="D75" s="6"/>
      <c r="E75" s="6"/>
      <c r="F75" s="6"/>
      <c r="G75" s="6"/>
      <c r="H75" s="6"/>
      <c r="I75" s="6"/>
    </row>
    <row r="157" spans="2:15" ht="13.8" thickBot="1"/>
    <row r="158" spans="2:15">
      <c r="B158" s="147" t="s">
        <v>129</v>
      </c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9"/>
    </row>
    <row r="159" spans="2:15">
      <c r="B159" s="111" t="s">
        <v>138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117"/>
    </row>
    <row r="160" spans="2:15">
      <c r="B160" s="111"/>
      <c r="C160" s="112">
        <v>0.5</v>
      </c>
      <c r="D160" s="113">
        <v>0.75</v>
      </c>
      <c r="E160" s="112">
        <v>1</v>
      </c>
      <c r="F160" s="113">
        <v>1.25</v>
      </c>
      <c r="G160" s="112">
        <v>1.5</v>
      </c>
      <c r="H160" s="112">
        <v>1.75</v>
      </c>
      <c r="I160" s="112">
        <v>2</v>
      </c>
      <c r="J160" s="113">
        <v>2.25</v>
      </c>
      <c r="K160" s="113">
        <v>2.5</v>
      </c>
      <c r="L160" s="113">
        <v>2.75</v>
      </c>
      <c r="M160" s="113">
        <v>3</v>
      </c>
      <c r="N160" s="120">
        <v>3.25</v>
      </c>
      <c r="O160" s="127">
        <v>3.5</v>
      </c>
    </row>
    <row r="161" spans="2:15">
      <c r="B161" s="114" t="s">
        <v>128</v>
      </c>
      <c r="C161" s="119">
        <v>1.0449999999999999</v>
      </c>
      <c r="D161" s="115">
        <v>0.69499999999999995</v>
      </c>
      <c r="E161" s="115">
        <v>0.51900000000000002</v>
      </c>
      <c r="F161" s="115">
        <v>0.41599999999999998</v>
      </c>
      <c r="G161" s="115">
        <v>0.34699999999999998</v>
      </c>
      <c r="H161" s="115">
        <v>0.29799999999999999</v>
      </c>
      <c r="I161" s="115">
        <v>0.25900000000000001</v>
      </c>
      <c r="J161" s="126">
        <v>0.23100000000000001</v>
      </c>
      <c r="K161" s="115"/>
      <c r="L161" s="115"/>
      <c r="M161" s="115"/>
      <c r="N161" s="115"/>
      <c r="O161" s="116"/>
    </row>
    <row r="162" spans="2:15">
      <c r="B162" s="114" t="s">
        <v>97</v>
      </c>
      <c r="C162" s="119">
        <v>1.38</v>
      </c>
      <c r="D162" s="119">
        <v>0.93</v>
      </c>
      <c r="E162" s="119">
        <v>0.69499999999999995</v>
      </c>
      <c r="F162" s="119">
        <v>0.55500000000000005</v>
      </c>
      <c r="G162" s="119">
        <v>0.46500000000000002</v>
      </c>
      <c r="H162" s="119">
        <v>0.39800000000000002</v>
      </c>
      <c r="I162" s="119">
        <v>0.34799999999999998</v>
      </c>
      <c r="J162" s="115">
        <v>0.31</v>
      </c>
      <c r="K162" s="115">
        <v>0.27900000000000003</v>
      </c>
      <c r="L162" s="115">
        <v>0.253</v>
      </c>
      <c r="M162" s="115">
        <v>0.23200000000000001</v>
      </c>
      <c r="N162" s="6"/>
      <c r="O162" s="117"/>
    </row>
    <row r="163" spans="2:15">
      <c r="B163" s="114" t="s">
        <v>137</v>
      </c>
      <c r="C163" s="119">
        <v>1.4830000000000001</v>
      </c>
      <c r="D163" s="119">
        <v>0.998</v>
      </c>
      <c r="E163" s="119">
        <v>0.74299999999999999</v>
      </c>
      <c r="F163" s="119">
        <v>0.59299999999999997</v>
      </c>
      <c r="G163" s="119">
        <v>0.49399999999999999</v>
      </c>
      <c r="H163" s="119">
        <v>0.42499999999999999</v>
      </c>
      <c r="I163" s="119">
        <v>0.371</v>
      </c>
      <c r="J163" s="115">
        <v>0.33</v>
      </c>
      <c r="K163" s="115">
        <v>0.29699999999999999</v>
      </c>
      <c r="L163" s="115">
        <v>0.27</v>
      </c>
      <c r="M163" s="126">
        <v>0.247</v>
      </c>
      <c r="N163" s="119">
        <v>0.22600000000000001</v>
      </c>
      <c r="O163" s="128">
        <v>0.214</v>
      </c>
    </row>
    <row r="164" spans="2:15">
      <c r="B164" s="114" t="s">
        <v>136</v>
      </c>
      <c r="C164" s="119">
        <v>1.643</v>
      </c>
      <c r="D164" s="119">
        <v>1.101</v>
      </c>
      <c r="E164" s="119">
        <v>0.81699999999999995</v>
      </c>
      <c r="F164" s="119">
        <v>0.65800000000000003</v>
      </c>
      <c r="G164" s="119">
        <v>0.54900000000000004</v>
      </c>
      <c r="H164" s="119">
        <v>0.46899999999999997</v>
      </c>
      <c r="I164" s="119">
        <v>0.41099999999999998</v>
      </c>
      <c r="J164" s="119">
        <v>0.36599999999999999</v>
      </c>
      <c r="K164" s="119">
        <v>0.32900000000000001</v>
      </c>
      <c r="L164" s="119">
        <v>0.29899999999999999</v>
      </c>
      <c r="M164" s="119">
        <v>0.27300000000000002</v>
      </c>
      <c r="N164" s="119">
        <v>0.254</v>
      </c>
      <c r="O164" s="128">
        <v>0.23699999999999999</v>
      </c>
    </row>
    <row r="165" spans="2:15">
      <c r="B165" s="11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117"/>
    </row>
    <row r="166" spans="2:15">
      <c r="B166" s="111" t="s">
        <v>139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117"/>
    </row>
    <row r="167" spans="2:15">
      <c r="B167" s="111"/>
      <c r="C167" s="112">
        <v>0.5</v>
      </c>
      <c r="D167" s="113">
        <v>0.75</v>
      </c>
      <c r="E167" s="112">
        <v>1</v>
      </c>
      <c r="F167" s="113">
        <v>1.25</v>
      </c>
      <c r="G167" s="112">
        <v>1.5</v>
      </c>
      <c r="H167" s="112">
        <v>1.75</v>
      </c>
      <c r="I167" s="112">
        <v>2</v>
      </c>
      <c r="J167" s="113">
        <v>2.25</v>
      </c>
      <c r="K167" s="113">
        <v>2.5</v>
      </c>
      <c r="L167" s="113">
        <v>2.75</v>
      </c>
      <c r="M167" s="113">
        <v>3</v>
      </c>
      <c r="N167" s="120">
        <v>3.25</v>
      </c>
      <c r="O167" s="127">
        <v>3.5</v>
      </c>
    </row>
    <row r="168" spans="2:15">
      <c r="B168" s="114" t="s">
        <v>128</v>
      </c>
      <c r="C168" s="119">
        <v>1.081</v>
      </c>
      <c r="D168" s="115">
        <v>0.73</v>
      </c>
      <c r="E168" s="115">
        <v>0.53600000000000003</v>
      </c>
      <c r="F168" s="115">
        <v>0.43</v>
      </c>
      <c r="G168" s="115">
        <v>0.35799999999999998</v>
      </c>
      <c r="H168" s="115">
        <v>0.308</v>
      </c>
      <c r="I168" s="115">
        <v>0.26800000000000002</v>
      </c>
      <c r="J168" s="126">
        <v>0.23899999999999999</v>
      </c>
      <c r="K168" s="115"/>
      <c r="L168" s="115"/>
      <c r="M168" s="115"/>
      <c r="N168" s="115"/>
      <c r="O168" s="116"/>
    </row>
    <row r="169" spans="2:15">
      <c r="B169" s="114" t="s">
        <v>97</v>
      </c>
      <c r="C169" s="119">
        <v>1.421</v>
      </c>
      <c r="D169" s="119">
        <v>0.95699999999999996</v>
      </c>
      <c r="E169" s="119">
        <v>0.71499999999999997</v>
      </c>
      <c r="F169" s="119">
        <v>0.57099999999999995</v>
      </c>
      <c r="G169" s="119">
        <v>0.47899999999999998</v>
      </c>
      <c r="H169" s="119">
        <v>0.40899999999999997</v>
      </c>
      <c r="I169" s="119">
        <v>0.35899999999999999</v>
      </c>
      <c r="J169" s="115">
        <v>0.31900000000000001</v>
      </c>
      <c r="K169" s="115">
        <v>0.28799999999999998</v>
      </c>
      <c r="L169" s="115">
        <v>0.26100000000000001</v>
      </c>
      <c r="M169" s="115">
        <v>0.23799999999999999</v>
      </c>
      <c r="N169" s="6"/>
      <c r="O169" s="117"/>
    </row>
    <row r="170" spans="2:15">
      <c r="B170" s="114" t="s">
        <v>137</v>
      </c>
      <c r="C170" s="119">
        <v>1.5109999999999999</v>
      </c>
      <c r="D170" s="119">
        <v>1.016</v>
      </c>
      <c r="E170" s="119">
        <v>0.75800000000000001</v>
      </c>
      <c r="F170" s="119">
        <v>0.60399999999999998</v>
      </c>
      <c r="G170" s="119">
        <v>0.502</v>
      </c>
      <c r="H170" s="119">
        <v>0.432</v>
      </c>
      <c r="I170" s="119">
        <v>0.378</v>
      </c>
      <c r="J170" s="115">
        <v>0.33600000000000002</v>
      </c>
      <c r="K170" s="115">
        <v>0.30199999999999999</v>
      </c>
      <c r="L170" s="115">
        <v>0.27500000000000002</v>
      </c>
      <c r="M170" s="126">
        <v>0.251</v>
      </c>
      <c r="N170" s="119">
        <v>0.23</v>
      </c>
      <c r="O170" s="128">
        <v>0.218</v>
      </c>
    </row>
    <row r="171" spans="2:15" ht="13.8" thickBot="1">
      <c r="B171" s="122" t="s">
        <v>136</v>
      </c>
      <c r="C171" s="123">
        <v>1.671</v>
      </c>
      <c r="D171" s="123">
        <v>1.1200000000000001</v>
      </c>
      <c r="E171" s="123">
        <v>0.83099999999999996</v>
      </c>
      <c r="F171" s="123">
        <v>0.66900000000000004</v>
      </c>
      <c r="G171" s="123">
        <v>0.55900000000000005</v>
      </c>
      <c r="H171" s="123">
        <v>0.47699999999999998</v>
      </c>
      <c r="I171" s="123">
        <v>0.42</v>
      </c>
      <c r="J171" s="123">
        <v>0.372</v>
      </c>
      <c r="K171" s="123">
        <v>0.33500000000000002</v>
      </c>
      <c r="L171" s="123">
        <v>0.30399999999999999</v>
      </c>
      <c r="M171" s="123">
        <v>0.27800000000000002</v>
      </c>
      <c r="N171" s="123">
        <v>0.25800000000000001</v>
      </c>
      <c r="O171" s="129">
        <v>0.24099999999999999</v>
      </c>
    </row>
  </sheetData>
  <mergeCells count="1">
    <mergeCell ref="B158:O158"/>
  </mergeCells>
  <printOptions horizontalCentered="1" gridLinesSet="0"/>
  <pageMargins left="0.75" right="0.75" top="1" bottom="1" header="0.5" footer="0.5"/>
  <pageSetup scale="78" orientation="landscape" horizontalDpi="4294967292" verticalDpi="300" r:id="rId1"/>
  <headerFooter alignWithMargins="0">
    <oddFooter>&amp;C&amp;F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acro2">
                <anchor moveWithCells="1" sizeWithCells="1">
                  <from>
                    <xdr:col>12</xdr:col>
                    <xdr:colOff>0</xdr:colOff>
                    <xdr:row>5</xdr:row>
                    <xdr:rowOff>144780</xdr:rowOff>
                  </from>
                  <to>
                    <xdr:col>12</xdr:col>
                    <xdr:colOff>601980</xdr:colOff>
                    <xdr:row>8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99"/>
  <sheetViews>
    <sheetView showGridLines="0" topLeftCell="A76" workbookViewId="0">
      <selection activeCell="A80" sqref="A80"/>
    </sheetView>
  </sheetViews>
  <sheetFormatPr defaultRowHeight="13.2"/>
  <cols>
    <col min="4" max="4" width="13.6640625" customWidth="1"/>
    <col min="5" max="29" width="14" customWidth="1"/>
    <col min="30" max="30" width="14" style="25" customWidth="1"/>
    <col min="31" max="31" width="12.109375" customWidth="1"/>
    <col min="32" max="32" width="5.109375" customWidth="1"/>
  </cols>
  <sheetData>
    <row r="1" spans="1:32">
      <c r="A1" t="str">
        <f>+Inputs!A1</f>
        <v>LNG Shipping Model</v>
      </c>
    </row>
    <row r="2" spans="1:32">
      <c r="A2" t="str">
        <f>+Inputs!A2</f>
        <v>Abu Dhabi (Das Island) to Lake Charles</v>
      </c>
    </row>
    <row r="4" spans="1:32">
      <c r="A4" t="s">
        <v>39</v>
      </c>
      <c r="E4">
        <f>+Inputs!K16</f>
        <v>12</v>
      </c>
      <c r="F4">
        <v>12</v>
      </c>
      <c r="G4">
        <v>12</v>
      </c>
      <c r="H4">
        <v>12</v>
      </c>
      <c r="I4">
        <v>12</v>
      </c>
      <c r="J4">
        <v>12</v>
      </c>
      <c r="K4">
        <v>12</v>
      </c>
      <c r="L4">
        <v>12</v>
      </c>
      <c r="M4">
        <v>12</v>
      </c>
      <c r="N4">
        <v>12</v>
      </c>
      <c r="O4">
        <v>12</v>
      </c>
      <c r="P4">
        <v>12</v>
      </c>
      <c r="Q4">
        <v>12</v>
      </c>
      <c r="R4">
        <v>12</v>
      </c>
      <c r="S4">
        <v>12</v>
      </c>
      <c r="T4">
        <v>12</v>
      </c>
      <c r="U4">
        <v>12</v>
      </c>
      <c r="V4">
        <v>12</v>
      </c>
      <c r="W4">
        <v>12</v>
      </c>
      <c r="X4">
        <v>12</v>
      </c>
      <c r="Y4">
        <v>12</v>
      </c>
      <c r="Z4">
        <v>12</v>
      </c>
      <c r="AA4">
        <v>12</v>
      </c>
      <c r="AB4">
        <v>12</v>
      </c>
      <c r="AC4">
        <f>12-E4</f>
        <v>0</v>
      </c>
    </row>
    <row r="5" spans="1:32">
      <c r="A5" t="s">
        <v>40</v>
      </c>
      <c r="E5">
        <f>+Inputs!K15</f>
        <v>2002</v>
      </c>
      <c r="F5">
        <f>+E5+1</f>
        <v>2003</v>
      </c>
      <c r="G5">
        <f t="shared" ref="G5:V5" si="0">+F5+1</f>
        <v>2004</v>
      </c>
      <c r="H5">
        <f t="shared" si="0"/>
        <v>2005</v>
      </c>
      <c r="I5">
        <f t="shared" si="0"/>
        <v>2006</v>
      </c>
      <c r="J5">
        <f t="shared" si="0"/>
        <v>2007</v>
      </c>
      <c r="K5">
        <f t="shared" si="0"/>
        <v>2008</v>
      </c>
      <c r="L5">
        <f t="shared" si="0"/>
        <v>2009</v>
      </c>
      <c r="M5">
        <f t="shared" si="0"/>
        <v>2010</v>
      </c>
      <c r="N5">
        <f t="shared" si="0"/>
        <v>2011</v>
      </c>
      <c r="O5">
        <f t="shared" si="0"/>
        <v>2012</v>
      </c>
      <c r="P5">
        <f t="shared" si="0"/>
        <v>2013</v>
      </c>
      <c r="Q5">
        <f t="shared" si="0"/>
        <v>2014</v>
      </c>
      <c r="R5">
        <f t="shared" si="0"/>
        <v>2015</v>
      </c>
      <c r="S5">
        <f t="shared" si="0"/>
        <v>2016</v>
      </c>
      <c r="T5">
        <f t="shared" si="0"/>
        <v>2017</v>
      </c>
      <c r="U5">
        <f t="shared" si="0"/>
        <v>2018</v>
      </c>
      <c r="V5">
        <f t="shared" si="0"/>
        <v>2019</v>
      </c>
      <c r="W5">
        <f t="shared" ref="W5:AC5" si="1">+V5+1</f>
        <v>2020</v>
      </c>
      <c r="X5">
        <f t="shared" si="1"/>
        <v>2021</v>
      </c>
      <c r="Y5">
        <f t="shared" si="1"/>
        <v>2022</v>
      </c>
      <c r="Z5">
        <f t="shared" si="1"/>
        <v>2023</v>
      </c>
      <c r="AA5">
        <f t="shared" si="1"/>
        <v>2024</v>
      </c>
      <c r="AB5">
        <f t="shared" si="1"/>
        <v>2025</v>
      </c>
      <c r="AC5">
        <f t="shared" si="1"/>
        <v>2026</v>
      </c>
    </row>
    <row r="7" spans="1:32">
      <c r="A7" s="52" t="s">
        <v>41</v>
      </c>
      <c r="B7" s="3"/>
      <c r="C7" s="3"/>
      <c r="D7" s="3"/>
      <c r="E7" s="37">
        <f>+Inputs!$K$11*(1+Inputs!$J$11)^(Model!E5-Inputs!$I$11)*Model!E4/12</f>
        <v>0</v>
      </c>
      <c r="F7" s="37">
        <f>+Inputs!$K$11*(1+Inputs!$J$11)^(Model!F5-Inputs!$I$11)*Model!F4/12</f>
        <v>0</v>
      </c>
      <c r="G7" s="37">
        <f>+Inputs!$K$11*(1+Inputs!$J$11)^(Model!G5-Inputs!$I$11)*Model!G4/12</f>
        <v>0</v>
      </c>
      <c r="H7" s="37">
        <f>+Inputs!$K$11*(1+Inputs!$J$11)^(Model!H5-Inputs!$I$11)*Model!H4/12</f>
        <v>0</v>
      </c>
      <c r="I7" s="37">
        <f>+Inputs!$K$11*(1+Inputs!$J$11)^(Model!I5-Inputs!$I$11)*Model!I4/12</f>
        <v>0</v>
      </c>
      <c r="J7" s="37">
        <f>+Inputs!$K$11*(1+Inputs!$J$11)^(Model!J5-Inputs!$I$11)*Model!J4/12</f>
        <v>0</v>
      </c>
      <c r="K7" s="37">
        <f>+Inputs!$K$11*(1+Inputs!$J$11)^(Model!K5-Inputs!$I$11)*Model!K4/12</f>
        <v>0</v>
      </c>
      <c r="L7" s="37">
        <f>+Inputs!$K$11*(1+Inputs!$J$11)^(Model!L5-Inputs!$I$11)*Model!L4/12</f>
        <v>0</v>
      </c>
      <c r="M7" s="37">
        <f>+Inputs!$K$11*(1+Inputs!$J$11)^(Model!M5-Inputs!$I$11)*Model!M4/12</f>
        <v>0</v>
      </c>
      <c r="N7" s="37">
        <f>+Inputs!$K$11*(1+Inputs!$J$11)^(Model!N5-Inputs!$I$11)*Model!N4/12</f>
        <v>0</v>
      </c>
      <c r="O7" s="37">
        <f>+Inputs!$K$11*(1+Inputs!$J$11)^(Model!O5-Inputs!$I$11)*Model!O4/12</f>
        <v>0</v>
      </c>
      <c r="P7" s="37">
        <f>+Inputs!$K$11*(1+Inputs!$J$11)^(Model!P5-Inputs!$I$11)*Model!P4/12</f>
        <v>0</v>
      </c>
      <c r="Q7" s="37">
        <f>+Inputs!$K$11*(1+Inputs!$J$11)^(Model!Q5-Inputs!$I$11)*Model!Q4/12</f>
        <v>0</v>
      </c>
      <c r="R7" s="37">
        <f>+Inputs!$K$11*(1+Inputs!$J$11)^(Model!R5-Inputs!$I$11)*Model!R4/12</f>
        <v>0</v>
      </c>
      <c r="S7" s="37">
        <f>+Inputs!$K$11*(1+Inputs!$J$11)^(Model!S5-Inputs!$I$11)*Model!S4/12</f>
        <v>0</v>
      </c>
      <c r="T7" s="37">
        <f>+Inputs!$K$11*(1+Inputs!$J$11)^(Model!T5-Inputs!$I$11)*Model!T4/12</f>
        <v>0</v>
      </c>
      <c r="U7" s="37">
        <f>+Inputs!$K$11*(1+Inputs!$J$11)^(Model!U5-Inputs!$I$11)*Model!U4/12</f>
        <v>0</v>
      </c>
      <c r="V7" s="37">
        <f>+Inputs!$K$11*(1+Inputs!$J$11)^(Model!V5-Inputs!$I$11)*Model!V4/12</f>
        <v>0</v>
      </c>
      <c r="W7" s="37">
        <f>+Inputs!$K$11*(1+Inputs!$J$11)^(Model!W5-Inputs!$I$11)*Model!W4/12</f>
        <v>0</v>
      </c>
      <c r="X7" s="37">
        <f>+Inputs!$K$11*(1+Inputs!$J$11)^(Model!X5-Inputs!$I$11)*Model!X4/12</f>
        <v>0</v>
      </c>
      <c r="Y7" s="37">
        <f>+Inputs!$K$11*(1+Inputs!$J$11)^(Model!Y5-Inputs!$I$11)*Model!Y4/12</f>
        <v>0</v>
      </c>
      <c r="Z7" s="37">
        <f>+Inputs!$K$11*(1+Inputs!$J$11)^(Model!Z5-Inputs!$I$11)*Model!Z4/12</f>
        <v>0</v>
      </c>
      <c r="AA7" s="37">
        <f>+Inputs!$K$11*(1+Inputs!$J$11)^(Model!AA5-Inputs!$I$11)*Model!AA4/12</f>
        <v>0</v>
      </c>
      <c r="AB7" s="37">
        <f>+Inputs!$K$11*(1+Inputs!$J$11)^(Model!AB5-Inputs!$I$11)*Model!AB4/12</f>
        <v>0</v>
      </c>
      <c r="AC7" s="38">
        <f>+Inputs!$K$11*(1+Inputs!$J$11)^(Model!AC5-Inputs!$I$11)*Model!AC4/12</f>
        <v>0</v>
      </c>
      <c r="AD7" s="25">
        <f>SUM(E7:AC7)</f>
        <v>0</v>
      </c>
    </row>
    <row r="8" spans="1:32" ht="15">
      <c r="A8" s="5" t="s">
        <v>42</v>
      </c>
      <c r="B8" s="6"/>
      <c r="C8" s="6"/>
      <c r="D8" s="6"/>
      <c r="E8" s="53">
        <f>+Inputs!$K$25</f>
        <v>1</v>
      </c>
      <c r="F8" s="53">
        <f>+Inputs!$K$25</f>
        <v>1</v>
      </c>
      <c r="G8" s="53">
        <f>+Inputs!$K$25</f>
        <v>1</v>
      </c>
      <c r="H8" s="53">
        <f>+Inputs!$K$25</f>
        <v>1</v>
      </c>
      <c r="I8" s="53">
        <f>+Inputs!$K$25</f>
        <v>1</v>
      </c>
      <c r="J8" s="53">
        <f>+Inputs!$K$25</f>
        <v>1</v>
      </c>
      <c r="K8" s="53">
        <f>+Inputs!$K$25</f>
        <v>1</v>
      </c>
      <c r="L8" s="53">
        <f>+Inputs!$K$25</f>
        <v>1</v>
      </c>
      <c r="M8" s="53">
        <f>+Inputs!$K$25</f>
        <v>1</v>
      </c>
      <c r="N8" s="53">
        <f>+Inputs!$K$25</f>
        <v>1</v>
      </c>
      <c r="O8" s="53">
        <f>+Inputs!$K$25</f>
        <v>1</v>
      </c>
      <c r="P8" s="53">
        <f>+Inputs!$K$25</f>
        <v>1</v>
      </c>
      <c r="Q8" s="53">
        <f>+Inputs!$K$25</f>
        <v>1</v>
      </c>
      <c r="R8" s="53">
        <f>+Inputs!$K$25</f>
        <v>1</v>
      </c>
      <c r="S8" s="53">
        <f>+Inputs!$K$25</f>
        <v>1</v>
      </c>
      <c r="T8" s="53">
        <f>+Inputs!$K$25</f>
        <v>1</v>
      </c>
      <c r="U8" s="53">
        <f>+Inputs!$K$25</f>
        <v>1</v>
      </c>
      <c r="V8" s="53">
        <f>+Inputs!$K$25</f>
        <v>1</v>
      </c>
      <c r="W8" s="53">
        <f>+Inputs!$K$25</f>
        <v>1</v>
      </c>
      <c r="X8" s="53">
        <f>+Inputs!$K$25</f>
        <v>1</v>
      </c>
      <c r="Y8" s="53">
        <f>+Inputs!$K$25</f>
        <v>1</v>
      </c>
      <c r="Z8" s="53">
        <f>+Inputs!$K$25</f>
        <v>1</v>
      </c>
      <c r="AA8" s="53">
        <f>+Inputs!$K$25</f>
        <v>1</v>
      </c>
      <c r="AB8" s="53">
        <f>+Inputs!$K$25</f>
        <v>1</v>
      </c>
      <c r="AC8" s="54">
        <f>+Inputs!$K$25</f>
        <v>1</v>
      </c>
      <c r="AD8" s="25">
        <f>+AC8</f>
        <v>1</v>
      </c>
    </row>
    <row r="9" spans="1:32">
      <c r="A9" s="5" t="s">
        <v>43</v>
      </c>
      <c r="B9" s="6"/>
      <c r="C9" s="6"/>
      <c r="D9" s="6"/>
      <c r="E9" s="24">
        <f>+E7*E8</f>
        <v>0</v>
      </c>
      <c r="F9" s="24">
        <f t="shared" ref="F9:U9" si="2">+F7*F8</f>
        <v>0</v>
      </c>
      <c r="G9" s="24">
        <f t="shared" si="2"/>
        <v>0</v>
      </c>
      <c r="H9" s="24">
        <f t="shared" si="2"/>
        <v>0</v>
      </c>
      <c r="I9" s="24">
        <f t="shared" si="2"/>
        <v>0</v>
      </c>
      <c r="J9" s="24">
        <f t="shared" si="2"/>
        <v>0</v>
      </c>
      <c r="K9" s="24">
        <f t="shared" si="2"/>
        <v>0</v>
      </c>
      <c r="L9" s="24">
        <f t="shared" si="2"/>
        <v>0</v>
      </c>
      <c r="M9" s="24">
        <f t="shared" si="2"/>
        <v>0</v>
      </c>
      <c r="N9" s="24">
        <f t="shared" si="2"/>
        <v>0</v>
      </c>
      <c r="O9" s="24">
        <f t="shared" si="2"/>
        <v>0</v>
      </c>
      <c r="P9" s="24">
        <f t="shared" si="2"/>
        <v>0</v>
      </c>
      <c r="Q9" s="24">
        <f t="shared" si="2"/>
        <v>0</v>
      </c>
      <c r="R9" s="24">
        <f t="shared" si="2"/>
        <v>0</v>
      </c>
      <c r="S9" s="24">
        <f t="shared" si="2"/>
        <v>0</v>
      </c>
      <c r="T9" s="24">
        <f t="shared" si="2"/>
        <v>0</v>
      </c>
      <c r="U9" s="24">
        <f t="shared" si="2"/>
        <v>0</v>
      </c>
      <c r="V9" s="24">
        <f t="shared" ref="V9:AC9" si="3">+V7*V8</f>
        <v>0</v>
      </c>
      <c r="W9" s="24">
        <f t="shared" si="3"/>
        <v>0</v>
      </c>
      <c r="X9" s="24">
        <f t="shared" si="3"/>
        <v>0</v>
      </c>
      <c r="Y9" s="24">
        <f t="shared" si="3"/>
        <v>0</v>
      </c>
      <c r="Z9" s="24">
        <f t="shared" si="3"/>
        <v>0</v>
      </c>
      <c r="AA9" s="24">
        <f t="shared" si="3"/>
        <v>0</v>
      </c>
      <c r="AB9" s="24">
        <f t="shared" si="3"/>
        <v>0</v>
      </c>
      <c r="AC9" s="14">
        <f t="shared" si="3"/>
        <v>0</v>
      </c>
      <c r="AD9" s="25">
        <f>SUM(E9:AC9)</f>
        <v>0</v>
      </c>
      <c r="AE9">
        <f>+AD7*AD8</f>
        <v>0</v>
      </c>
      <c r="AF9" s="29">
        <f>+AE9-AD9</f>
        <v>0</v>
      </c>
    </row>
    <row r="10" spans="1:32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7"/>
    </row>
    <row r="11" spans="1:32">
      <c r="A11" s="5" t="s">
        <v>44</v>
      </c>
      <c r="B11" s="6"/>
      <c r="C11" s="6"/>
      <c r="D11" s="6"/>
      <c r="E11" s="24">
        <f>+Inputs!$K$12*(1+Inputs!$J$12)^(Model!E5-Inputs!$I$12)*Model!E4/12</f>
        <v>10800000</v>
      </c>
      <c r="F11" s="24">
        <f>+Inputs!$K$12*(1+Inputs!$J$12)^(Model!F5-Inputs!$I$12)*Model!F4/12</f>
        <v>10800000</v>
      </c>
      <c r="G11" s="24">
        <f>+Inputs!$K$12*(1+Inputs!$J$12)^(Model!G5-Inputs!$I$12)*Model!G4/12</f>
        <v>10800000</v>
      </c>
      <c r="H11" s="24">
        <f>+Inputs!$K$12*(1+Inputs!$J$12)^(Model!H5-Inputs!$I$12)*Model!H4/12</f>
        <v>10800000</v>
      </c>
      <c r="I11" s="24">
        <f>+Inputs!$K$12*(1+Inputs!$J$12)^(Model!I5-Inputs!$I$12)*Model!I4/12</f>
        <v>10800000</v>
      </c>
      <c r="J11" s="24">
        <f>+Inputs!$K$12*(1+Inputs!$J$12)^(Model!J5-Inputs!$I$12)*Model!J4/12</f>
        <v>10800000</v>
      </c>
      <c r="K11" s="24">
        <f>+Inputs!$K$12*(1+Inputs!$J$12)^(Model!K5-Inputs!$I$12)*Model!K4/12</f>
        <v>10800000</v>
      </c>
      <c r="L11" s="24">
        <f>+Inputs!$K$12*(1+Inputs!$J$12)^(Model!L5-Inputs!$I$12)*Model!L4/12</f>
        <v>10800000</v>
      </c>
      <c r="M11" s="24">
        <f>+Inputs!$K$12*(1+Inputs!$J$12)^(Model!M5-Inputs!$I$12)*Model!M4/12</f>
        <v>10800000</v>
      </c>
      <c r="N11" s="24">
        <f>+Inputs!$K$12*(1+Inputs!$J$12)^(Model!N5-Inputs!$I$12)*Model!N4/12</f>
        <v>10800000</v>
      </c>
      <c r="O11" s="24">
        <f>+Inputs!$K$12*(1+Inputs!$J$12)^(Model!O5-Inputs!$I$12)*Model!O4/12</f>
        <v>10800000</v>
      </c>
      <c r="P11" s="24">
        <f>+Inputs!$K$12*(1+Inputs!$J$12)^(Model!P5-Inputs!$I$12)*Model!P4/12</f>
        <v>10800000</v>
      </c>
      <c r="Q11" s="24">
        <f>+Inputs!$K$12*(1+Inputs!$J$12)^(Model!Q5-Inputs!$I$12)*Model!Q4/12</f>
        <v>10800000</v>
      </c>
      <c r="R11" s="24">
        <f>+Inputs!$K$12*(1+Inputs!$J$12)^(Model!R5-Inputs!$I$12)*Model!R4/12</f>
        <v>10800000</v>
      </c>
      <c r="S11" s="24">
        <f>+Inputs!$K$12*(1+Inputs!$J$12)^(Model!S5-Inputs!$I$12)*Model!S4/12</f>
        <v>10800000</v>
      </c>
      <c r="T11" s="24">
        <f>+Inputs!$K$12*(1+Inputs!$J$12)^(Model!T5-Inputs!$I$12)*Model!T4/12</f>
        <v>10800000</v>
      </c>
      <c r="U11" s="24">
        <f>+Inputs!$K$12*(1+Inputs!$J$12)^(Model!U5-Inputs!$I$12)*Model!U4/12</f>
        <v>10800000</v>
      </c>
      <c r="V11" s="24">
        <f>+Inputs!$K$12*(1+Inputs!$J$12)^(Model!V5-Inputs!$I$12)*Model!V4/12</f>
        <v>10800000</v>
      </c>
      <c r="W11" s="24">
        <f>+Inputs!$K$12*(1+Inputs!$J$12)^(Model!W5-Inputs!$I$12)*Model!W4/12</f>
        <v>10800000</v>
      </c>
      <c r="X11" s="24">
        <f>+Inputs!$K$12*(1+Inputs!$J$12)^(Model!X5-Inputs!$I$12)*Model!X4/12</f>
        <v>10800000</v>
      </c>
      <c r="Y11" s="24">
        <f>+Inputs!$K$12*(1+Inputs!$J$12)^(Model!Y5-Inputs!$I$12)*Model!Y4/12</f>
        <v>10800000</v>
      </c>
      <c r="Z11" s="24">
        <f>+Inputs!$K$12*(1+Inputs!$J$12)^(Model!Z5-Inputs!$I$12)*Model!Z4/12</f>
        <v>10800000</v>
      </c>
      <c r="AA11" s="24">
        <f>+Inputs!$K$12*(1+Inputs!$J$12)^(Model!AA5-Inputs!$I$12)*Model!AA4/12</f>
        <v>10800000</v>
      </c>
      <c r="AB11" s="24">
        <f>+Inputs!$K$12*(1+Inputs!$J$12)^(Model!AB5-Inputs!$I$12)*Model!AB4/12</f>
        <v>10800000</v>
      </c>
      <c r="AC11" s="14">
        <f>+Inputs!$K$12*(1+Inputs!$J$12)^(Model!AC5-Inputs!$I$12)*Model!AC4/12</f>
        <v>0</v>
      </c>
      <c r="AD11" s="25">
        <f>SUM(E11:AC11)</f>
        <v>259200000</v>
      </c>
    </row>
    <row r="12" spans="1:32" ht="15">
      <c r="A12" s="5" t="s">
        <v>42</v>
      </c>
      <c r="B12" s="6"/>
      <c r="C12" s="6"/>
      <c r="D12" s="6"/>
      <c r="E12" s="53">
        <f>+Inputs!$K$25</f>
        <v>1</v>
      </c>
      <c r="F12" s="53">
        <f>+Inputs!$K$25</f>
        <v>1</v>
      </c>
      <c r="G12" s="53">
        <f>+Inputs!$K$25</f>
        <v>1</v>
      </c>
      <c r="H12" s="53">
        <f>+Inputs!$K$25</f>
        <v>1</v>
      </c>
      <c r="I12" s="53">
        <f>+Inputs!$K$25</f>
        <v>1</v>
      </c>
      <c r="J12" s="53">
        <f>+Inputs!$K$25</f>
        <v>1</v>
      </c>
      <c r="K12" s="53">
        <f>+Inputs!$K$25</f>
        <v>1</v>
      </c>
      <c r="L12" s="53">
        <f>+Inputs!$K$25</f>
        <v>1</v>
      </c>
      <c r="M12" s="53">
        <f>+Inputs!$K$25</f>
        <v>1</v>
      </c>
      <c r="N12" s="53">
        <f>+Inputs!$K$25</f>
        <v>1</v>
      </c>
      <c r="O12" s="53">
        <f>+Inputs!$K$25</f>
        <v>1</v>
      </c>
      <c r="P12" s="53">
        <f>+Inputs!$K$25</f>
        <v>1</v>
      </c>
      <c r="Q12" s="53">
        <f>+Inputs!$K$25</f>
        <v>1</v>
      </c>
      <c r="R12" s="53">
        <f>+Inputs!$K$25</f>
        <v>1</v>
      </c>
      <c r="S12" s="53">
        <f>+Inputs!$K$25</f>
        <v>1</v>
      </c>
      <c r="T12" s="53">
        <f>+Inputs!$K$25</f>
        <v>1</v>
      </c>
      <c r="U12" s="53">
        <f>+Inputs!$K$25</f>
        <v>1</v>
      </c>
      <c r="V12" s="53">
        <f>+Inputs!$K$25</f>
        <v>1</v>
      </c>
      <c r="W12" s="53">
        <f>+Inputs!$K$25</f>
        <v>1</v>
      </c>
      <c r="X12" s="53">
        <f>+Inputs!$K$25</f>
        <v>1</v>
      </c>
      <c r="Y12" s="53">
        <f>+Inputs!$K$25</f>
        <v>1</v>
      </c>
      <c r="Z12" s="53">
        <f>+Inputs!$K$25</f>
        <v>1</v>
      </c>
      <c r="AA12" s="53">
        <f>+Inputs!$K$25</f>
        <v>1</v>
      </c>
      <c r="AB12" s="53">
        <f>+Inputs!$K$25</f>
        <v>1</v>
      </c>
      <c r="AC12" s="54">
        <f>+Inputs!$K$25</f>
        <v>1</v>
      </c>
      <c r="AD12" s="25">
        <f>+AC12</f>
        <v>1</v>
      </c>
    </row>
    <row r="13" spans="1:32">
      <c r="A13" s="55" t="s">
        <v>45</v>
      </c>
      <c r="B13" s="10"/>
      <c r="C13" s="10"/>
      <c r="D13" s="10"/>
      <c r="E13" s="45">
        <f>+E12*E11</f>
        <v>10800000</v>
      </c>
      <c r="F13" s="45">
        <f t="shared" ref="F13:U13" si="4">+F12*F11</f>
        <v>10800000</v>
      </c>
      <c r="G13" s="45">
        <f t="shared" si="4"/>
        <v>10800000</v>
      </c>
      <c r="H13" s="45">
        <f t="shared" si="4"/>
        <v>10800000</v>
      </c>
      <c r="I13" s="45">
        <f t="shared" si="4"/>
        <v>10800000</v>
      </c>
      <c r="J13" s="45">
        <f t="shared" si="4"/>
        <v>10800000</v>
      </c>
      <c r="K13" s="45">
        <f t="shared" si="4"/>
        <v>10800000</v>
      </c>
      <c r="L13" s="45">
        <f t="shared" si="4"/>
        <v>10800000</v>
      </c>
      <c r="M13" s="45">
        <f t="shared" si="4"/>
        <v>10800000</v>
      </c>
      <c r="N13" s="45">
        <f t="shared" si="4"/>
        <v>10800000</v>
      </c>
      <c r="O13" s="45">
        <f t="shared" si="4"/>
        <v>10800000</v>
      </c>
      <c r="P13" s="45">
        <f t="shared" si="4"/>
        <v>10800000</v>
      </c>
      <c r="Q13" s="45">
        <f t="shared" si="4"/>
        <v>10800000</v>
      </c>
      <c r="R13" s="45">
        <f t="shared" si="4"/>
        <v>10800000</v>
      </c>
      <c r="S13" s="45">
        <f t="shared" si="4"/>
        <v>10800000</v>
      </c>
      <c r="T13" s="45">
        <f t="shared" si="4"/>
        <v>10800000</v>
      </c>
      <c r="U13" s="45">
        <f t="shared" si="4"/>
        <v>10800000</v>
      </c>
      <c r="V13" s="45">
        <f t="shared" ref="V13:AC13" si="5">+V12*V11</f>
        <v>10800000</v>
      </c>
      <c r="W13" s="45">
        <f t="shared" si="5"/>
        <v>10800000</v>
      </c>
      <c r="X13" s="45">
        <f t="shared" si="5"/>
        <v>10800000</v>
      </c>
      <c r="Y13" s="45">
        <f t="shared" si="5"/>
        <v>10800000</v>
      </c>
      <c r="Z13" s="45">
        <f t="shared" si="5"/>
        <v>10800000</v>
      </c>
      <c r="AA13" s="45">
        <f t="shared" si="5"/>
        <v>10800000</v>
      </c>
      <c r="AB13" s="45">
        <f t="shared" si="5"/>
        <v>10800000</v>
      </c>
      <c r="AC13" s="15">
        <f t="shared" si="5"/>
        <v>0</v>
      </c>
      <c r="AD13" s="25">
        <f>SUM(E13:AC13)</f>
        <v>259200000</v>
      </c>
      <c r="AE13">
        <f>+AD11*AD12</f>
        <v>259200000</v>
      </c>
      <c r="AF13" s="29">
        <f>+AE13-AD13</f>
        <v>0</v>
      </c>
    </row>
    <row r="15" spans="1:32">
      <c r="A15" s="22" t="s">
        <v>46</v>
      </c>
      <c r="B15" s="3"/>
      <c r="C15" s="3"/>
      <c r="D15" s="3"/>
      <c r="E15" s="37">
        <f>+Inputs!$D$8</f>
        <v>2008794.94992</v>
      </c>
      <c r="F15" s="37">
        <f>+Inputs!$D$8</f>
        <v>2008794.94992</v>
      </c>
      <c r="G15" s="37">
        <f>+Inputs!$D$8</f>
        <v>2008794.94992</v>
      </c>
      <c r="H15" s="37">
        <f>+Inputs!$D$8</f>
        <v>2008794.94992</v>
      </c>
      <c r="I15" s="37">
        <f>+Inputs!$D$8</f>
        <v>2008794.94992</v>
      </c>
      <c r="J15" s="37">
        <f>+Inputs!$D$8</f>
        <v>2008794.94992</v>
      </c>
      <c r="K15" s="37">
        <f>+Inputs!$D$8</f>
        <v>2008794.94992</v>
      </c>
      <c r="L15" s="37">
        <f>+Inputs!$D$8</f>
        <v>2008794.94992</v>
      </c>
      <c r="M15" s="37">
        <f>+Inputs!$D$8</f>
        <v>2008794.94992</v>
      </c>
      <c r="N15" s="37">
        <f>+Inputs!$D$8</f>
        <v>2008794.94992</v>
      </c>
      <c r="O15" s="37">
        <f>+Inputs!$D$8</f>
        <v>2008794.94992</v>
      </c>
      <c r="P15" s="37">
        <f>+Inputs!$D$8</f>
        <v>2008794.94992</v>
      </c>
      <c r="Q15" s="37">
        <f>+Inputs!$D$8</f>
        <v>2008794.94992</v>
      </c>
      <c r="R15" s="37">
        <f>+Inputs!$D$8</f>
        <v>2008794.94992</v>
      </c>
      <c r="S15" s="37">
        <f>+Inputs!$D$8</f>
        <v>2008794.94992</v>
      </c>
      <c r="T15" s="37">
        <f>+Inputs!$D$8</f>
        <v>2008794.94992</v>
      </c>
      <c r="U15" s="37">
        <f>+Inputs!$D$8</f>
        <v>2008794.94992</v>
      </c>
      <c r="V15" s="37">
        <f>+Inputs!$D$8</f>
        <v>2008794.94992</v>
      </c>
      <c r="W15" s="37">
        <f>+Inputs!$D$8</f>
        <v>2008794.94992</v>
      </c>
      <c r="X15" s="37">
        <f>+Inputs!$D$8</f>
        <v>2008794.94992</v>
      </c>
      <c r="Y15" s="37">
        <f>+Inputs!$D$8</f>
        <v>2008794.94992</v>
      </c>
      <c r="Z15" s="37">
        <f>+Inputs!$D$8</f>
        <v>2008794.94992</v>
      </c>
      <c r="AA15" s="37">
        <f>+Inputs!$D$8</f>
        <v>2008794.94992</v>
      </c>
      <c r="AB15" s="37">
        <f>+Inputs!$D$8</f>
        <v>2008794.94992</v>
      </c>
      <c r="AC15" s="38">
        <f>+Inputs!$D$8</f>
        <v>2008794.94992</v>
      </c>
      <c r="AD15" s="25">
        <f>SUM(E15:AC15)</f>
        <v>50219873.747999981</v>
      </c>
    </row>
    <row r="16" spans="1:32">
      <c r="A16" s="5" t="s">
        <v>47</v>
      </c>
      <c r="B16" s="6"/>
      <c r="C16" s="6"/>
      <c r="D16" s="6"/>
      <c r="E16" s="46">
        <f>+Inputs!$D$12</f>
        <v>2.5000000000000001E-3</v>
      </c>
      <c r="F16" s="46">
        <f>+Inputs!$D$12</f>
        <v>2.5000000000000001E-3</v>
      </c>
      <c r="G16" s="46">
        <f>+Inputs!$D$12</f>
        <v>2.5000000000000001E-3</v>
      </c>
      <c r="H16" s="46">
        <f>+Inputs!$D$12</f>
        <v>2.5000000000000001E-3</v>
      </c>
      <c r="I16" s="46">
        <f>+Inputs!$D$12</f>
        <v>2.5000000000000001E-3</v>
      </c>
      <c r="J16" s="46">
        <f>+Inputs!$D$12</f>
        <v>2.5000000000000001E-3</v>
      </c>
      <c r="K16" s="46">
        <f>+Inputs!$D$12</f>
        <v>2.5000000000000001E-3</v>
      </c>
      <c r="L16" s="46">
        <f>+Inputs!$D$12</f>
        <v>2.5000000000000001E-3</v>
      </c>
      <c r="M16" s="46">
        <f>+Inputs!$D$12</f>
        <v>2.5000000000000001E-3</v>
      </c>
      <c r="N16" s="46">
        <f>+Inputs!$D$12</f>
        <v>2.5000000000000001E-3</v>
      </c>
      <c r="O16" s="46">
        <f>+Inputs!$D$12</f>
        <v>2.5000000000000001E-3</v>
      </c>
      <c r="P16" s="46">
        <f>+Inputs!$D$12</f>
        <v>2.5000000000000001E-3</v>
      </c>
      <c r="Q16" s="46">
        <f>+Inputs!$D$12</f>
        <v>2.5000000000000001E-3</v>
      </c>
      <c r="R16" s="46">
        <f>+Inputs!$D$12</f>
        <v>2.5000000000000001E-3</v>
      </c>
      <c r="S16" s="46">
        <f>+Inputs!$D$12</f>
        <v>2.5000000000000001E-3</v>
      </c>
      <c r="T16" s="46">
        <f>+Inputs!$D$12</f>
        <v>2.5000000000000001E-3</v>
      </c>
      <c r="U16" s="46">
        <f>+Inputs!$D$12</f>
        <v>2.5000000000000001E-3</v>
      </c>
      <c r="V16" s="46">
        <f>+Inputs!$D$12</f>
        <v>2.5000000000000001E-3</v>
      </c>
      <c r="W16" s="46">
        <f>+Inputs!$D$12</f>
        <v>2.5000000000000001E-3</v>
      </c>
      <c r="X16" s="46">
        <f>+Inputs!$D$12</f>
        <v>2.5000000000000001E-3</v>
      </c>
      <c r="Y16" s="46">
        <f>+Inputs!$D$12</f>
        <v>2.5000000000000001E-3</v>
      </c>
      <c r="Z16" s="46">
        <f>+Inputs!$D$12</f>
        <v>2.5000000000000001E-3</v>
      </c>
      <c r="AA16" s="46">
        <f>+Inputs!$D$12</f>
        <v>2.5000000000000001E-3</v>
      </c>
      <c r="AB16" s="46">
        <f>+Inputs!$D$12</f>
        <v>2.5000000000000001E-3</v>
      </c>
      <c r="AC16" s="47">
        <f>+Inputs!$D$12</f>
        <v>2.5000000000000001E-3</v>
      </c>
      <c r="AD16" s="25">
        <f>+AC16</f>
        <v>2.5000000000000001E-3</v>
      </c>
    </row>
    <row r="17" spans="1:32">
      <c r="A17" s="5" t="s">
        <v>48</v>
      </c>
      <c r="B17" s="6"/>
      <c r="C17" s="6"/>
      <c r="D17" s="6"/>
      <c r="E17" s="24">
        <f>+E16*E15</f>
        <v>5021.9873748</v>
      </c>
      <c r="F17" s="24">
        <f>+F16*F15</f>
        <v>5021.9873748</v>
      </c>
      <c r="G17" s="24">
        <f t="shared" ref="G17:V17" si="6">+G16*G15</f>
        <v>5021.9873748</v>
      </c>
      <c r="H17" s="24">
        <f t="shared" si="6"/>
        <v>5021.9873748</v>
      </c>
      <c r="I17" s="24">
        <f t="shared" si="6"/>
        <v>5021.9873748</v>
      </c>
      <c r="J17" s="24">
        <f t="shared" si="6"/>
        <v>5021.9873748</v>
      </c>
      <c r="K17" s="24">
        <f t="shared" si="6"/>
        <v>5021.9873748</v>
      </c>
      <c r="L17" s="24">
        <f t="shared" si="6"/>
        <v>5021.9873748</v>
      </c>
      <c r="M17" s="24">
        <f t="shared" si="6"/>
        <v>5021.9873748</v>
      </c>
      <c r="N17" s="24">
        <f t="shared" si="6"/>
        <v>5021.9873748</v>
      </c>
      <c r="O17" s="24">
        <f t="shared" si="6"/>
        <v>5021.9873748</v>
      </c>
      <c r="P17" s="24">
        <f t="shared" si="6"/>
        <v>5021.9873748</v>
      </c>
      <c r="Q17" s="24">
        <f t="shared" si="6"/>
        <v>5021.9873748</v>
      </c>
      <c r="R17" s="24">
        <f t="shared" si="6"/>
        <v>5021.9873748</v>
      </c>
      <c r="S17" s="24">
        <f t="shared" si="6"/>
        <v>5021.9873748</v>
      </c>
      <c r="T17" s="24">
        <f t="shared" si="6"/>
        <v>5021.9873748</v>
      </c>
      <c r="U17" s="24">
        <f t="shared" si="6"/>
        <v>5021.9873748</v>
      </c>
      <c r="V17" s="24">
        <f t="shared" si="6"/>
        <v>5021.9873748</v>
      </c>
      <c r="W17" s="24">
        <f t="shared" ref="W17:AC17" si="7">+W16*W15</f>
        <v>5021.9873748</v>
      </c>
      <c r="X17" s="24">
        <f t="shared" si="7"/>
        <v>5021.9873748</v>
      </c>
      <c r="Y17" s="24">
        <f t="shared" si="7"/>
        <v>5021.9873748</v>
      </c>
      <c r="Z17" s="24">
        <f t="shared" si="7"/>
        <v>5021.9873748</v>
      </c>
      <c r="AA17" s="24">
        <f t="shared" si="7"/>
        <v>5021.9873748</v>
      </c>
      <c r="AB17" s="24">
        <f t="shared" si="7"/>
        <v>5021.9873748</v>
      </c>
      <c r="AC17" s="14">
        <f t="shared" si="7"/>
        <v>5021.9873748</v>
      </c>
      <c r="AD17" s="25">
        <f>SUM(E17:AC17)</f>
        <v>125549.68436999996</v>
      </c>
      <c r="AE17">
        <f>+AD15*AD16</f>
        <v>125549.68436999996</v>
      </c>
      <c r="AF17" s="29">
        <f>+AD17-AE17</f>
        <v>0</v>
      </c>
    </row>
    <row r="18" spans="1:32" ht="15">
      <c r="A18" s="5" t="s">
        <v>49</v>
      </c>
      <c r="B18" s="6"/>
      <c r="C18" s="6"/>
      <c r="D18" s="6"/>
      <c r="E18" s="48">
        <f>ROUNDUP(+Inputs!$K$19*0.5,0)</f>
        <v>13</v>
      </c>
      <c r="F18" s="48">
        <f>ROUNDUP(+Inputs!$K$19*0.5,0)</f>
        <v>13</v>
      </c>
      <c r="G18" s="48">
        <f>ROUNDUP(+Inputs!$K$19*0.5,0)</f>
        <v>13</v>
      </c>
      <c r="H18" s="48">
        <f>ROUNDUP(+Inputs!$K$19*0.5,0)</f>
        <v>13</v>
      </c>
      <c r="I18" s="48">
        <f>ROUNDUP(+Inputs!$K$19*0.5,0)</f>
        <v>13</v>
      </c>
      <c r="J18" s="48">
        <f>ROUNDUP(+Inputs!$K$19*0.5,0)</f>
        <v>13</v>
      </c>
      <c r="K18" s="48">
        <f>ROUNDUP(+Inputs!$K$19*0.5,0)</f>
        <v>13</v>
      </c>
      <c r="L18" s="48">
        <f>ROUNDUP(+Inputs!$K$19*0.5,0)</f>
        <v>13</v>
      </c>
      <c r="M18" s="48">
        <f>ROUNDUP(+Inputs!$K$19*0.5,0)</f>
        <v>13</v>
      </c>
      <c r="N18" s="48">
        <f>ROUNDUP(+Inputs!$K$19*0.5,0)</f>
        <v>13</v>
      </c>
      <c r="O18" s="48">
        <f>ROUNDUP(+Inputs!$K$19*0.5,0)</f>
        <v>13</v>
      </c>
      <c r="P18" s="48">
        <f>ROUNDUP(+Inputs!$K$19*0.5,0)</f>
        <v>13</v>
      </c>
      <c r="Q18" s="48">
        <f>ROUNDUP(+Inputs!$K$19*0.5,0)</f>
        <v>13</v>
      </c>
      <c r="R18" s="48">
        <f>ROUNDUP(+Inputs!$K$19*0.5,0)</f>
        <v>13</v>
      </c>
      <c r="S18" s="48">
        <f>ROUNDUP(+Inputs!$K$19*0.5,0)</f>
        <v>13</v>
      </c>
      <c r="T18" s="48">
        <f>ROUNDUP(+Inputs!$K$19*0.5,0)</f>
        <v>13</v>
      </c>
      <c r="U18" s="48">
        <f>ROUNDUP(+Inputs!$K$19*0.5,0)</f>
        <v>13</v>
      </c>
      <c r="V18" s="48">
        <f>ROUNDUP(+Inputs!$K$19*0.5,0)</f>
        <v>13</v>
      </c>
      <c r="W18" s="48">
        <f>ROUNDUP(+Inputs!$K$19*0.5,0)</f>
        <v>13</v>
      </c>
      <c r="X18" s="48">
        <f>ROUNDUP(+Inputs!$K$19*0.5,0)</f>
        <v>13</v>
      </c>
      <c r="Y18" s="48">
        <f>ROUNDUP(+Inputs!$K$19*0.5,0)</f>
        <v>13</v>
      </c>
      <c r="Z18" s="48">
        <f>ROUNDUP(+Inputs!$K$19*0.5,0)</f>
        <v>13</v>
      </c>
      <c r="AA18" s="48">
        <f>ROUNDUP(+Inputs!$K$19*0.5,0)</f>
        <v>13</v>
      </c>
      <c r="AB18" s="48">
        <f>ROUNDUP(+Inputs!$K$19*0.5,0)</f>
        <v>13</v>
      </c>
      <c r="AC18" s="48">
        <f>ROUNDUP(+Inputs!$K$19*0.5,0)</f>
        <v>13</v>
      </c>
      <c r="AD18" s="25">
        <f>+AC18</f>
        <v>13</v>
      </c>
    </row>
    <row r="19" spans="1:32">
      <c r="A19" s="8" t="s">
        <v>50</v>
      </c>
      <c r="B19" s="6"/>
      <c r="C19" s="6"/>
      <c r="D19" s="6"/>
      <c r="E19" s="24">
        <f>+E18*E17</f>
        <v>65285.835872399999</v>
      </c>
      <c r="F19" s="24">
        <f>+F18*F17</f>
        <v>65285.835872399999</v>
      </c>
      <c r="G19" s="24">
        <f t="shared" ref="G19:V19" si="8">+G18*G17</f>
        <v>65285.835872399999</v>
      </c>
      <c r="H19" s="24">
        <f t="shared" si="8"/>
        <v>65285.835872399999</v>
      </c>
      <c r="I19" s="24">
        <f t="shared" si="8"/>
        <v>65285.835872399999</v>
      </c>
      <c r="J19" s="24">
        <f t="shared" si="8"/>
        <v>65285.835872399999</v>
      </c>
      <c r="K19" s="24">
        <f t="shared" si="8"/>
        <v>65285.835872399999</v>
      </c>
      <c r="L19" s="24">
        <f t="shared" si="8"/>
        <v>65285.835872399999</v>
      </c>
      <c r="M19" s="24">
        <f t="shared" si="8"/>
        <v>65285.835872399999</v>
      </c>
      <c r="N19" s="24">
        <f t="shared" si="8"/>
        <v>65285.835872399999</v>
      </c>
      <c r="O19" s="24">
        <f t="shared" si="8"/>
        <v>65285.835872399999</v>
      </c>
      <c r="P19" s="24">
        <f t="shared" si="8"/>
        <v>65285.835872399999</v>
      </c>
      <c r="Q19" s="24">
        <f t="shared" si="8"/>
        <v>65285.835872399999</v>
      </c>
      <c r="R19" s="24">
        <f t="shared" si="8"/>
        <v>65285.835872399999</v>
      </c>
      <c r="S19" s="24">
        <f t="shared" si="8"/>
        <v>65285.835872399999</v>
      </c>
      <c r="T19" s="24">
        <f t="shared" si="8"/>
        <v>65285.835872399999</v>
      </c>
      <c r="U19" s="24">
        <f t="shared" si="8"/>
        <v>65285.835872399999</v>
      </c>
      <c r="V19" s="24">
        <f t="shared" si="8"/>
        <v>65285.835872399999</v>
      </c>
      <c r="W19" s="24">
        <f t="shared" ref="W19:AC19" si="9">+W18*W17</f>
        <v>65285.835872399999</v>
      </c>
      <c r="X19" s="24">
        <f t="shared" si="9"/>
        <v>65285.835872399999</v>
      </c>
      <c r="Y19" s="24">
        <f t="shared" si="9"/>
        <v>65285.835872399999</v>
      </c>
      <c r="Z19" s="24">
        <f t="shared" si="9"/>
        <v>65285.835872399999</v>
      </c>
      <c r="AA19" s="24">
        <f t="shared" si="9"/>
        <v>65285.835872399999</v>
      </c>
      <c r="AB19" s="24">
        <f t="shared" si="9"/>
        <v>65285.835872399999</v>
      </c>
      <c r="AC19" s="14">
        <f t="shared" si="9"/>
        <v>65285.835872399999</v>
      </c>
      <c r="AD19" s="25">
        <f>SUM(E19:AC19)</f>
        <v>1632145.8968100003</v>
      </c>
      <c r="AE19">
        <f>+AD17*AD18</f>
        <v>1632145.8968099994</v>
      </c>
      <c r="AF19" s="29">
        <f>+AD19-AE19</f>
        <v>0</v>
      </c>
    </row>
    <row r="20" spans="1:32">
      <c r="A20" s="5" t="s">
        <v>51</v>
      </c>
      <c r="B20" s="6"/>
      <c r="C20" s="6"/>
      <c r="D20" s="6"/>
      <c r="E20" s="80">
        <f>+Inputs!$K$24*Model!E4/12</f>
        <v>12</v>
      </c>
      <c r="F20" s="41">
        <f>+Inputs!$K$24*Model!F4/12</f>
        <v>12</v>
      </c>
      <c r="G20" s="41">
        <f>+Inputs!$K$24*Model!G4/12</f>
        <v>12</v>
      </c>
      <c r="H20" s="41">
        <f>+Inputs!$K$24*Model!H4/12</f>
        <v>12</v>
      </c>
      <c r="I20" s="41">
        <f>+Inputs!$K$24*Model!I4/12</f>
        <v>12</v>
      </c>
      <c r="J20" s="41">
        <f>+Inputs!$K$24*Model!J4/12</f>
        <v>12</v>
      </c>
      <c r="K20" s="41">
        <f>+Inputs!$K$24*Model!K4/12</f>
        <v>12</v>
      </c>
      <c r="L20" s="41">
        <f>+Inputs!$K$24*Model!L4/12</f>
        <v>12</v>
      </c>
      <c r="M20" s="41">
        <f>+Inputs!$K$24*Model!M4/12</f>
        <v>12</v>
      </c>
      <c r="N20" s="41">
        <f>+Inputs!$K$24*Model!N4/12</f>
        <v>12</v>
      </c>
      <c r="O20" s="41">
        <f>+Inputs!$K$24*Model!O4/12</f>
        <v>12</v>
      </c>
      <c r="P20" s="41">
        <f>+Inputs!$K$24*Model!P4/12</f>
        <v>12</v>
      </c>
      <c r="Q20" s="41">
        <f>+Inputs!$K$24*Model!Q4/12</f>
        <v>12</v>
      </c>
      <c r="R20" s="41">
        <f>+Inputs!$K$24*Model!R4/12</f>
        <v>12</v>
      </c>
      <c r="S20" s="41">
        <f>+Inputs!$K$24*Model!S4/12</f>
        <v>12</v>
      </c>
      <c r="T20" s="41">
        <f>+Inputs!$K$24*Model!T4/12</f>
        <v>12</v>
      </c>
      <c r="U20" s="41">
        <f>+Inputs!$K$24*Model!U4/12</f>
        <v>12</v>
      </c>
      <c r="V20" s="41">
        <f>+Inputs!$K$24*Model!V4/12</f>
        <v>12</v>
      </c>
      <c r="W20" s="41">
        <f>+Inputs!$K$24*Model!W4/12</f>
        <v>12</v>
      </c>
      <c r="X20" s="41">
        <f>+Inputs!$K$24*Model!X4/12</f>
        <v>12</v>
      </c>
      <c r="Y20" s="41">
        <f>+Inputs!$K$24*Model!Y4/12</f>
        <v>12</v>
      </c>
      <c r="Z20" s="41">
        <f>+Inputs!$K$24*Model!Z4/12</f>
        <v>12</v>
      </c>
      <c r="AA20" s="41">
        <f>+Inputs!$K$24*Model!AA4/12</f>
        <v>12</v>
      </c>
      <c r="AB20" s="41">
        <f>+Inputs!$K$24*Model!AB4/12</f>
        <v>12</v>
      </c>
      <c r="AC20" s="42">
        <f>+Inputs!$K$24*Model!AC4/12</f>
        <v>0</v>
      </c>
    </row>
    <row r="21" spans="1:32">
      <c r="A21" s="8" t="s">
        <v>52</v>
      </c>
      <c r="B21" s="6"/>
      <c r="C21" s="6"/>
      <c r="D21" s="6"/>
      <c r="E21" s="24">
        <f>+E20*E19</f>
        <v>783430.03046879999</v>
      </c>
      <c r="F21" s="24">
        <f>+F20*F19</f>
        <v>783430.03046879999</v>
      </c>
      <c r="G21" s="24">
        <f t="shared" ref="G21:V21" si="10">+G20*G19</f>
        <v>783430.03046879999</v>
      </c>
      <c r="H21" s="24">
        <f t="shared" si="10"/>
        <v>783430.03046879999</v>
      </c>
      <c r="I21" s="24">
        <f t="shared" si="10"/>
        <v>783430.03046879999</v>
      </c>
      <c r="J21" s="24">
        <f t="shared" si="10"/>
        <v>783430.03046879999</v>
      </c>
      <c r="K21" s="24">
        <f t="shared" si="10"/>
        <v>783430.03046879999</v>
      </c>
      <c r="L21" s="24">
        <f t="shared" si="10"/>
        <v>783430.03046879999</v>
      </c>
      <c r="M21" s="24">
        <f t="shared" si="10"/>
        <v>783430.03046879999</v>
      </c>
      <c r="N21" s="24">
        <f t="shared" si="10"/>
        <v>783430.03046879999</v>
      </c>
      <c r="O21" s="24">
        <f t="shared" si="10"/>
        <v>783430.03046879999</v>
      </c>
      <c r="P21" s="24">
        <f t="shared" si="10"/>
        <v>783430.03046879999</v>
      </c>
      <c r="Q21" s="24">
        <f t="shared" si="10"/>
        <v>783430.03046879999</v>
      </c>
      <c r="R21" s="24">
        <f t="shared" si="10"/>
        <v>783430.03046879999</v>
      </c>
      <c r="S21" s="24">
        <f t="shared" si="10"/>
        <v>783430.03046879999</v>
      </c>
      <c r="T21" s="24">
        <f t="shared" si="10"/>
        <v>783430.03046879999</v>
      </c>
      <c r="U21" s="24">
        <f t="shared" si="10"/>
        <v>783430.03046879999</v>
      </c>
      <c r="V21" s="24">
        <f t="shared" si="10"/>
        <v>783430.03046879999</v>
      </c>
      <c r="W21" s="24">
        <f t="shared" ref="W21:AC21" si="11">+W20*W19</f>
        <v>783430.03046879999</v>
      </c>
      <c r="X21" s="24">
        <f t="shared" si="11"/>
        <v>783430.03046879999</v>
      </c>
      <c r="Y21" s="24">
        <f t="shared" si="11"/>
        <v>783430.03046879999</v>
      </c>
      <c r="Z21" s="24">
        <f t="shared" si="11"/>
        <v>783430.03046879999</v>
      </c>
      <c r="AA21" s="24">
        <f t="shared" si="11"/>
        <v>783430.03046879999</v>
      </c>
      <c r="AB21" s="24">
        <f t="shared" si="11"/>
        <v>783430.03046879999</v>
      </c>
      <c r="AC21" s="14">
        <f t="shared" si="11"/>
        <v>0</v>
      </c>
      <c r="AD21" s="25">
        <f>SUM(E21:AC21)</f>
        <v>18802320.731251191</v>
      </c>
    </row>
    <row r="22" spans="1:32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7"/>
    </row>
    <row r="23" spans="1:32">
      <c r="A23" s="5" t="s">
        <v>46</v>
      </c>
      <c r="B23" s="6"/>
      <c r="C23" s="6"/>
      <c r="D23" s="6"/>
      <c r="E23" s="24">
        <f>+Inputs!$D$8</f>
        <v>2008794.94992</v>
      </c>
      <c r="F23" s="24">
        <f>+Inputs!$D$8</f>
        <v>2008794.94992</v>
      </c>
      <c r="G23" s="24">
        <f>+Inputs!$D$8</f>
        <v>2008794.94992</v>
      </c>
      <c r="H23" s="24">
        <f>+Inputs!$D$8</f>
        <v>2008794.94992</v>
      </c>
      <c r="I23" s="24">
        <f>+Inputs!$D$8</f>
        <v>2008794.94992</v>
      </c>
      <c r="J23" s="24">
        <f>+Inputs!$D$8</f>
        <v>2008794.94992</v>
      </c>
      <c r="K23" s="24">
        <f>+Inputs!$D$8</f>
        <v>2008794.94992</v>
      </c>
      <c r="L23" s="24">
        <f>+Inputs!$D$8</f>
        <v>2008794.94992</v>
      </c>
      <c r="M23" s="24">
        <f>+Inputs!$D$8</f>
        <v>2008794.94992</v>
      </c>
      <c r="N23" s="24">
        <f>+Inputs!$D$8</f>
        <v>2008794.94992</v>
      </c>
      <c r="O23" s="24">
        <f>+Inputs!$D$8</f>
        <v>2008794.94992</v>
      </c>
      <c r="P23" s="24">
        <f>+Inputs!$D$8</f>
        <v>2008794.94992</v>
      </c>
      <c r="Q23" s="24">
        <f>+Inputs!$D$8</f>
        <v>2008794.94992</v>
      </c>
      <c r="R23" s="24">
        <f>+Inputs!$D$8</f>
        <v>2008794.94992</v>
      </c>
      <c r="S23" s="24">
        <f>+Inputs!$D$8</f>
        <v>2008794.94992</v>
      </c>
      <c r="T23" s="24">
        <f>+Inputs!$D$8</f>
        <v>2008794.94992</v>
      </c>
      <c r="U23" s="24">
        <f>+Inputs!$D$8</f>
        <v>2008794.94992</v>
      </c>
      <c r="V23" s="24">
        <f>+Inputs!$D$8</f>
        <v>2008794.94992</v>
      </c>
      <c r="W23" s="24">
        <f>+Inputs!$D$8</f>
        <v>2008794.94992</v>
      </c>
      <c r="X23" s="24">
        <f>+Inputs!$D$8</f>
        <v>2008794.94992</v>
      </c>
      <c r="Y23" s="24">
        <f>+Inputs!$D$8</f>
        <v>2008794.94992</v>
      </c>
      <c r="Z23" s="24">
        <f>+Inputs!$D$8</f>
        <v>2008794.94992</v>
      </c>
      <c r="AA23" s="24">
        <f>+Inputs!$D$8</f>
        <v>2008794.94992</v>
      </c>
      <c r="AB23" s="24">
        <f>+Inputs!$D$8</f>
        <v>2008794.94992</v>
      </c>
      <c r="AC23" s="14">
        <f>+Inputs!$D$8</f>
        <v>2008794.94992</v>
      </c>
      <c r="AD23" s="25">
        <f>SUM(E23:AC23)</f>
        <v>50219873.747999981</v>
      </c>
    </row>
    <row r="24" spans="1:32">
      <c r="A24" s="5" t="s">
        <v>53</v>
      </c>
      <c r="B24" s="6"/>
      <c r="C24" s="6"/>
      <c r="D24" s="6"/>
      <c r="E24" s="46">
        <f>+Inputs!$D$11</f>
        <v>2.5000000000000001E-3</v>
      </c>
      <c r="F24" s="46">
        <f>+Inputs!$D$11</f>
        <v>2.5000000000000001E-3</v>
      </c>
      <c r="G24" s="46">
        <f>+Inputs!$D$11</f>
        <v>2.5000000000000001E-3</v>
      </c>
      <c r="H24" s="46">
        <f>+Inputs!$D$11</f>
        <v>2.5000000000000001E-3</v>
      </c>
      <c r="I24" s="46">
        <f>+Inputs!$D$11</f>
        <v>2.5000000000000001E-3</v>
      </c>
      <c r="J24" s="46">
        <f>+Inputs!$D$11</f>
        <v>2.5000000000000001E-3</v>
      </c>
      <c r="K24" s="46">
        <f>+Inputs!$D$11</f>
        <v>2.5000000000000001E-3</v>
      </c>
      <c r="L24" s="46">
        <f>+Inputs!$D$11</f>
        <v>2.5000000000000001E-3</v>
      </c>
      <c r="M24" s="46">
        <f>+Inputs!$D$11</f>
        <v>2.5000000000000001E-3</v>
      </c>
      <c r="N24" s="46">
        <f>+Inputs!$D$11</f>
        <v>2.5000000000000001E-3</v>
      </c>
      <c r="O24" s="46">
        <f>+Inputs!$D$11</f>
        <v>2.5000000000000001E-3</v>
      </c>
      <c r="P24" s="46">
        <f>+Inputs!$D$11</f>
        <v>2.5000000000000001E-3</v>
      </c>
      <c r="Q24" s="46">
        <f>+Inputs!$D$11</f>
        <v>2.5000000000000001E-3</v>
      </c>
      <c r="R24" s="46">
        <f>+Inputs!$D$11</f>
        <v>2.5000000000000001E-3</v>
      </c>
      <c r="S24" s="46">
        <f>+Inputs!$D$11</f>
        <v>2.5000000000000001E-3</v>
      </c>
      <c r="T24" s="46">
        <f>+Inputs!$D$11</f>
        <v>2.5000000000000001E-3</v>
      </c>
      <c r="U24" s="46">
        <f>+Inputs!$D$11</f>
        <v>2.5000000000000001E-3</v>
      </c>
      <c r="V24" s="46">
        <f>+Inputs!$D$11</f>
        <v>2.5000000000000001E-3</v>
      </c>
      <c r="W24" s="46">
        <f>+Inputs!$D$11</f>
        <v>2.5000000000000001E-3</v>
      </c>
      <c r="X24" s="46">
        <f>+Inputs!$D$11</f>
        <v>2.5000000000000001E-3</v>
      </c>
      <c r="Y24" s="46">
        <f>+Inputs!$D$11</f>
        <v>2.5000000000000001E-3</v>
      </c>
      <c r="Z24" s="46">
        <f>+Inputs!$D$11</f>
        <v>2.5000000000000001E-3</v>
      </c>
      <c r="AA24" s="46">
        <f>+Inputs!$D$11</f>
        <v>2.5000000000000001E-3</v>
      </c>
      <c r="AB24" s="46">
        <f>+Inputs!$D$11</f>
        <v>2.5000000000000001E-3</v>
      </c>
      <c r="AC24" s="47">
        <f>+Inputs!$D$11</f>
        <v>2.5000000000000001E-3</v>
      </c>
      <c r="AD24" s="25">
        <f>+AC24</f>
        <v>2.5000000000000001E-3</v>
      </c>
    </row>
    <row r="25" spans="1:32">
      <c r="A25" s="8" t="s">
        <v>54</v>
      </c>
      <c r="B25" s="6"/>
      <c r="C25" s="6"/>
      <c r="D25" s="6"/>
      <c r="E25" s="24">
        <f>+E24*E23</f>
        <v>5021.9873748</v>
      </c>
      <c r="F25" s="24">
        <f>+F24*F23</f>
        <v>5021.9873748</v>
      </c>
      <c r="G25" s="24">
        <f t="shared" ref="G25:V25" si="12">+G24*G23</f>
        <v>5021.9873748</v>
      </c>
      <c r="H25" s="24">
        <f t="shared" si="12"/>
        <v>5021.9873748</v>
      </c>
      <c r="I25" s="24">
        <f t="shared" si="12"/>
        <v>5021.9873748</v>
      </c>
      <c r="J25" s="24">
        <f t="shared" si="12"/>
        <v>5021.9873748</v>
      </c>
      <c r="K25" s="24">
        <f t="shared" si="12"/>
        <v>5021.9873748</v>
      </c>
      <c r="L25" s="24">
        <f t="shared" si="12"/>
        <v>5021.9873748</v>
      </c>
      <c r="M25" s="24">
        <f t="shared" si="12"/>
        <v>5021.9873748</v>
      </c>
      <c r="N25" s="24">
        <f t="shared" si="12"/>
        <v>5021.9873748</v>
      </c>
      <c r="O25" s="24">
        <f t="shared" si="12"/>
        <v>5021.9873748</v>
      </c>
      <c r="P25" s="24">
        <f t="shared" si="12"/>
        <v>5021.9873748</v>
      </c>
      <c r="Q25" s="24">
        <f t="shared" si="12"/>
        <v>5021.9873748</v>
      </c>
      <c r="R25" s="24">
        <f t="shared" si="12"/>
        <v>5021.9873748</v>
      </c>
      <c r="S25" s="24">
        <f t="shared" si="12"/>
        <v>5021.9873748</v>
      </c>
      <c r="T25" s="24">
        <f t="shared" si="12"/>
        <v>5021.9873748</v>
      </c>
      <c r="U25" s="24">
        <f t="shared" si="12"/>
        <v>5021.9873748</v>
      </c>
      <c r="V25" s="24">
        <f t="shared" si="12"/>
        <v>5021.9873748</v>
      </c>
      <c r="W25" s="24">
        <f t="shared" ref="W25:AC25" si="13">+W24*W23</f>
        <v>5021.9873748</v>
      </c>
      <c r="X25" s="24">
        <f t="shared" si="13"/>
        <v>5021.9873748</v>
      </c>
      <c r="Y25" s="24">
        <f t="shared" si="13"/>
        <v>5021.9873748</v>
      </c>
      <c r="Z25" s="24">
        <f t="shared" si="13"/>
        <v>5021.9873748</v>
      </c>
      <c r="AA25" s="24">
        <f t="shared" si="13"/>
        <v>5021.9873748</v>
      </c>
      <c r="AB25" s="24">
        <f t="shared" si="13"/>
        <v>5021.9873748</v>
      </c>
      <c r="AC25" s="14">
        <f t="shared" si="13"/>
        <v>5021.9873748</v>
      </c>
      <c r="AD25" s="25">
        <f>SUM(E25:AC25)</f>
        <v>125549.68436999996</v>
      </c>
      <c r="AE25">
        <f>+AD23*AD24</f>
        <v>125549.68436999996</v>
      </c>
      <c r="AF25" s="29">
        <f>+AD25-AE25</f>
        <v>0</v>
      </c>
    </row>
    <row r="26" spans="1:32" ht="15">
      <c r="A26" s="5" t="s">
        <v>55</v>
      </c>
      <c r="B26" s="6"/>
      <c r="C26" s="6"/>
      <c r="D26" s="6"/>
      <c r="E26" s="49">
        <f>ROUNDUP(+Inputs!$K$19*0.5,0)</f>
        <v>13</v>
      </c>
      <c r="F26" s="49">
        <f>ROUNDUP(+Inputs!$K$19*0.5,0)</f>
        <v>13</v>
      </c>
      <c r="G26" s="49">
        <f>ROUNDUP(+Inputs!$K$19*0.5,0)</f>
        <v>13</v>
      </c>
      <c r="H26" s="49">
        <f>ROUNDUP(+Inputs!$K$19*0.5,0)</f>
        <v>13</v>
      </c>
      <c r="I26" s="49">
        <f>ROUNDUP(+Inputs!$K$19*0.5,0)</f>
        <v>13</v>
      </c>
      <c r="J26" s="49">
        <f>ROUNDUP(+Inputs!$K$19*0.5,0)</f>
        <v>13</v>
      </c>
      <c r="K26" s="49">
        <f>ROUNDUP(+Inputs!$K$19*0.5,0)</f>
        <v>13</v>
      </c>
      <c r="L26" s="49">
        <f>ROUNDUP(+Inputs!$K$19*0.5,0)</f>
        <v>13</v>
      </c>
      <c r="M26" s="49">
        <f>ROUNDUP(+Inputs!$K$19*0.5,0)</f>
        <v>13</v>
      </c>
      <c r="N26" s="49">
        <f>ROUNDUP(+Inputs!$K$19*0.5,0)</f>
        <v>13</v>
      </c>
      <c r="O26" s="49">
        <f>ROUNDUP(+Inputs!$K$19*0.5,0)</f>
        <v>13</v>
      </c>
      <c r="P26" s="49">
        <f>ROUNDUP(+Inputs!$K$19*0.5,0)</f>
        <v>13</v>
      </c>
      <c r="Q26" s="49">
        <f>ROUNDUP(+Inputs!$K$19*0.5,0)</f>
        <v>13</v>
      </c>
      <c r="R26" s="49">
        <f>ROUNDUP(+Inputs!$K$19*0.5,0)</f>
        <v>13</v>
      </c>
      <c r="S26" s="49">
        <f>ROUNDUP(+Inputs!$K$19*0.5,0)</f>
        <v>13</v>
      </c>
      <c r="T26" s="49">
        <f>ROUNDUP(+Inputs!$K$19*0.5,0)</f>
        <v>13</v>
      </c>
      <c r="U26" s="49">
        <f>ROUNDUP(+Inputs!$K$19*0.5,0)</f>
        <v>13</v>
      </c>
      <c r="V26" s="49">
        <f>ROUNDUP(+Inputs!$K$19*0.5,0)</f>
        <v>13</v>
      </c>
      <c r="W26" s="49">
        <f>ROUNDUP(+Inputs!$K$19*0.5,0)</f>
        <v>13</v>
      </c>
      <c r="X26" s="49">
        <f>ROUNDUP(+Inputs!$K$19*0.5,0)</f>
        <v>13</v>
      </c>
      <c r="Y26" s="49">
        <f>ROUNDUP(+Inputs!$K$19*0.5,0)</f>
        <v>13</v>
      </c>
      <c r="Z26" s="49">
        <f>ROUNDUP(+Inputs!$K$19*0.5,0)</f>
        <v>13</v>
      </c>
      <c r="AA26" s="49">
        <f>ROUNDUP(+Inputs!$K$19*0.5,0)</f>
        <v>13</v>
      </c>
      <c r="AB26" s="49">
        <f>ROUNDUP(+Inputs!$K$19*0.5,0)</f>
        <v>13</v>
      </c>
      <c r="AC26" s="49">
        <f>ROUNDUP(+Inputs!$K$19*0.5,0)</f>
        <v>13</v>
      </c>
      <c r="AD26" s="25">
        <f>+AC26</f>
        <v>13</v>
      </c>
    </row>
    <row r="27" spans="1:32">
      <c r="A27" s="5" t="s">
        <v>56</v>
      </c>
      <c r="B27" s="6"/>
      <c r="C27" s="6"/>
      <c r="D27" s="6"/>
      <c r="E27" s="24">
        <f>+E25*E26</f>
        <v>65285.835872399999</v>
      </c>
      <c r="F27" s="24">
        <f>+F25*F26</f>
        <v>65285.835872399999</v>
      </c>
      <c r="G27" s="24">
        <f t="shared" ref="G27:V27" si="14">+G25*G26</f>
        <v>65285.835872399999</v>
      </c>
      <c r="H27" s="24">
        <f t="shared" si="14"/>
        <v>65285.835872399999</v>
      </c>
      <c r="I27" s="24">
        <f t="shared" si="14"/>
        <v>65285.835872399999</v>
      </c>
      <c r="J27" s="24">
        <f t="shared" si="14"/>
        <v>65285.835872399999</v>
      </c>
      <c r="K27" s="24">
        <f t="shared" si="14"/>
        <v>65285.835872399999</v>
      </c>
      <c r="L27" s="24">
        <f t="shared" si="14"/>
        <v>65285.835872399999</v>
      </c>
      <c r="M27" s="24">
        <f t="shared" si="14"/>
        <v>65285.835872399999</v>
      </c>
      <c r="N27" s="24">
        <f t="shared" si="14"/>
        <v>65285.835872399999</v>
      </c>
      <c r="O27" s="24">
        <f t="shared" si="14"/>
        <v>65285.835872399999</v>
      </c>
      <c r="P27" s="24">
        <f t="shared" si="14"/>
        <v>65285.835872399999</v>
      </c>
      <c r="Q27" s="24">
        <f t="shared" si="14"/>
        <v>65285.835872399999</v>
      </c>
      <c r="R27" s="24">
        <f t="shared" si="14"/>
        <v>65285.835872399999</v>
      </c>
      <c r="S27" s="24">
        <f t="shared" si="14"/>
        <v>65285.835872399999</v>
      </c>
      <c r="T27" s="24">
        <f t="shared" si="14"/>
        <v>65285.835872399999</v>
      </c>
      <c r="U27" s="24">
        <f t="shared" si="14"/>
        <v>65285.835872399999</v>
      </c>
      <c r="V27" s="24">
        <f t="shared" si="14"/>
        <v>65285.835872399999</v>
      </c>
      <c r="W27" s="24">
        <f t="shared" ref="W27:AC27" si="15">+W25*W26</f>
        <v>65285.835872399999</v>
      </c>
      <c r="X27" s="24">
        <f t="shared" si="15"/>
        <v>65285.835872399999</v>
      </c>
      <c r="Y27" s="24">
        <f t="shared" si="15"/>
        <v>65285.835872399999</v>
      </c>
      <c r="Z27" s="24">
        <f t="shared" si="15"/>
        <v>65285.835872399999</v>
      </c>
      <c r="AA27" s="24">
        <f t="shared" si="15"/>
        <v>65285.835872399999</v>
      </c>
      <c r="AB27" s="24">
        <f t="shared" si="15"/>
        <v>65285.835872399999</v>
      </c>
      <c r="AC27" s="14">
        <f t="shared" si="15"/>
        <v>65285.835872399999</v>
      </c>
      <c r="AD27" s="25">
        <f>SUM(E27:AC27)</f>
        <v>1632145.8968100003</v>
      </c>
      <c r="AE27">
        <f>+AD25*AD26</f>
        <v>1632145.8968099994</v>
      </c>
      <c r="AF27" s="29">
        <f>+AD27-AE27</f>
        <v>0</v>
      </c>
    </row>
    <row r="28" spans="1:32">
      <c r="A28" s="5" t="s">
        <v>51</v>
      </c>
      <c r="B28" s="6"/>
      <c r="C28" s="6"/>
      <c r="D28" s="6"/>
      <c r="E28" s="83">
        <f>+Inputs!$K$24*Model!E4/12</f>
        <v>12</v>
      </c>
      <c r="F28" s="41">
        <f>+Inputs!$K$24*Model!F4/12</f>
        <v>12</v>
      </c>
      <c r="G28" s="41">
        <f>+Inputs!$K$24*Model!G4/12</f>
        <v>12</v>
      </c>
      <c r="H28" s="41">
        <f>+Inputs!$K$24*Model!H4/12</f>
        <v>12</v>
      </c>
      <c r="I28" s="41">
        <f>+Inputs!$K$24*Model!I4/12</f>
        <v>12</v>
      </c>
      <c r="J28" s="41">
        <f>+Inputs!$K$24*Model!J4/12</f>
        <v>12</v>
      </c>
      <c r="K28" s="41">
        <f>+Inputs!$K$24*Model!K4/12</f>
        <v>12</v>
      </c>
      <c r="L28" s="41">
        <f>+Inputs!$K$24*Model!L4/12</f>
        <v>12</v>
      </c>
      <c r="M28" s="41">
        <f>+Inputs!$K$24*Model!M4/12</f>
        <v>12</v>
      </c>
      <c r="N28" s="41">
        <f>+Inputs!$K$24*Model!N4/12</f>
        <v>12</v>
      </c>
      <c r="O28" s="41">
        <f>+Inputs!$K$24*Model!O4/12</f>
        <v>12</v>
      </c>
      <c r="P28" s="41">
        <f>+Inputs!$K$24*Model!P4/12</f>
        <v>12</v>
      </c>
      <c r="Q28" s="41">
        <f>+Inputs!$K$24*Model!Q4/12</f>
        <v>12</v>
      </c>
      <c r="R28" s="41">
        <f>+Inputs!$K$24*Model!R4/12</f>
        <v>12</v>
      </c>
      <c r="S28" s="41">
        <f>+Inputs!$K$24*Model!S4/12</f>
        <v>12</v>
      </c>
      <c r="T28" s="41">
        <f>+Inputs!$K$24*Model!T4/12</f>
        <v>12</v>
      </c>
      <c r="U28" s="41">
        <f>+Inputs!$K$24*Model!U4/12</f>
        <v>12</v>
      </c>
      <c r="V28" s="41">
        <f>+Inputs!$K$24*Model!V4/12</f>
        <v>12</v>
      </c>
      <c r="W28" s="41">
        <f>+Inputs!$K$24*Model!W4/12</f>
        <v>12</v>
      </c>
      <c r="X28" s="41">
        <f>+Inputs!$K$24*Model!X4/12</f>
        <v>12</v>
      </c>
      <c r="Y28" s="41">
        <f>+Inputs!$K$24*Model!Y4/12</f>
        <v>12</v>
      </c>
      <c r="Z28" s="41">
        <f>+Inputs!$K$24*Model!Z4/12</f>
        <v>12</v>
      </c>
      <c r="AA28" s="41">
        <f>+Inputs!$K$24*Model!AA4/12</f>
        <v>12</v>
      </c>
      <c r="AB28" s="41">
        <f>+Inputs!$K$24*Model!AB4/12</f>
        <v>12</v>
      </c>
      <c r="AC28" s="42">
        <f>+Inputs!$K$24*Model!AC4/12</f>
        <v>0</v>
      </c>
    </row>
    <row r="29" spans="1:32">
      <c r="A29" s="5" t="s">
        <v>57</v>
      </c>
      <c r="B29" s="6"/>
      <c r="C29" s="6"/>
      <c r="D29" s="6"/>
      <c r="E29" s="24">
        <f>+E27*E28</f>
        <v>783430.03046879999</v>
      </c>
      <c r="F29" s="24">
        <f>+F27*F28</f>
        <v>783430.03046879999</v>
      </c>
      <c r="G29" s="24">
        <f t="shared" ref="G29:V29" si="16">+G27*G28</f>
        <v>783430.03046879999</v>
      </c>
      <c r="H29" s="24">
        <f t="shared" si="16"/>
        <v>783430.03046879999</v>
      </c>
      <c r="I29" s="24">
        <f t="shared" si="16"/>
        <v>783430.03046879999</v>
      </c>
      <c r="J29" s="24">
        <f t="shared" si="16"/>
        <v>783430.03046879999</v>
      </c>
      <c r="K29" s="24">
        <f t="shared" si="16"/>
        <v>783430.03046879999</v>
      </c>
      <c r="L29" s="24">
        <f t="shared" si="16"/>
        <v>783430.03046879999</v>
      </c>
      <c r="M29" s="24">
        <f t="shared" si="16"/>
        <v>783430.03046879999</v>
      </c>
      <c r="N29" s="24">
        <f t="shared" si="16"/>
        <v>783430.03046879999</v>
      </c>
      <c r="O29" s="24">
        <f t="shared" si="16"/>
        <v>783430.03046879999</v>
      </c>
      <c r="P29" s="24">
        <f t="shared" si="16"/>
        <v>783430.03046879999</v>
      </c>
      <c r="Q29" s="24">
        <f t="shared" si="16"/>
        <v>783430.03046879999</v>
      </c>
      <c r="R29" s="24">
        <f t="shared" si="16"/>
        <v>783430.03046879999</v>
      </c>
      <c r="S29" s="24">
        <f t="shared" si="16"/>
        <v>783430.03046879999</v>
      </c>
      <c r="T29" s="24">
        <f t="shared" si="16"/>
        <v>783430.03046879999</v>
      </c>
      <c r="U29" s="24">
        <f t="shared" si="16"/>
        <v>783430.03046879999</v>
      </c>
      <c r="V29" s="24">
        <f t="shared" si="16"/>
        <v>783430.03046879999</v>
      </c>
      <c r="W29" s="24">
        <f t="shared" ref="W29:AC29" si="17">+W27*W28</f>
        <v>783430.03046879999</v>
      </c>
      <c r="X29" s="24">
        <f t="shared" si="17"/>
        <v>783430.03046879999</v>
      </c>
      <c r="Y29" s="24">
        <f t="shared" si="17"/>
        <v>783430.03046879999</v>
      </c>
      <c r="Z29" s="24">
        <f t="shared" si="17"/>
        <v>783430.03046879999</v>
      </c>
      <c r="AA29" s="24">
        <f t="shared" si="17"/>
        <v>783430.03046879999</v>
      </c>
      <c r="AB29" s="24">
        <f t="shared" si="17"/>
        <v>783430.03046879999</v>
      </c>
      <c r="AC29" s="14">
        <f t="shared" si="17"/>
        <v>0</v>
      </c>
      <c r="AD29" s="25">
        <f>SUM(E29:AC29)</f>
        <v>18802320.731251191</v>
      </c>
    </row>
    <row r="30" spans="1:32">
      <c r="A30" s="5"/>
      <c r="B30" s="6"/>
      <c r="C30" s="6"/>
      <c r="D30" s="6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14"/>
    </row>
    <row r="31" spans="1:32">
      <c r="A31" s="5" t="s">
        <v>58</v>
      </c>
      <c r="B31" s="6"/>
      <c r="C31" s="6"/>
      <c r="D31" s="6"/>
      <c r="E31" s="24">
        <f>+Inputs!D27</f>
        <v>12114.29084</v>
      </c>
      <c r="F31" s="24">
        <f>+Inputs!E26</f>
        <v>0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14"/>
    </row>
    <row r="32" spans="1:32" ht="15">
      <c r="A32" s="5" t="s">
        <v>59</v>
      </c>
      <c r="B32" s="6"/>
      <c r="C32" s="6"/>
      <c r="D32" s="6"/>
      <c r="E32" s="49">
        <f>+Inputs!K25</f>
        <v>1</v>
      </c>
      <c r="F32" s="49">
        <f>+Inputs!L25</f>
        <v>0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14"/>
    </row>
    <row r="33" spans="1:30">
      <c r="A33" s="5" t="s">
        <v>60</v>
      </c>
      <c r="B33" s="6"/>
      <c r="C33" s="6"/>
      <c r="D33" s="6"/>
      <c r="E33" s="24">
        <f>+E32*E31</f>
        <v>12114.29084</v>
      </c>
      <c r="F33" s="24">
        <f>+F32*F31</f>
        <v>0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14"/>
    </row>
    <row r="34" spans="1:30">
      <c r="A34" s="5" t="s">
        <v>61</v>
      </c>
      <c r="B34" s="6"/>
      <c r="C34" s="6"/>
      <c r="D34" s="6"/>
      <c r="E34" s="84">
        <f>+E24</f>
        <v>2.5000000000000001E-3</v>
      </c>
      <c r="F34" s="84">
        <f>+F24</f>
        <v>2.5000000000000001E-3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14"/>
    </row>
    <row r="35" spans="1:30">
      <c r="A35" s="5" t="s">
        <v>62</v>
      </c>
      <c r="B35" s="6"/>
      <c r="C35" s="6"/>
      <c r="D35" s="6"/>
      <c r="E35" s="24">
        <f>+E33*E34</f>
        <v>30.285727099999999</v>
      </c>
      <c r="F35" s="24">
        <f>+F33*F34</f>
        <v>0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14"/>
    </row>
    <row r="36" spans="1:30">
      <c r="A36" s="5" t="s">
        <v>63</v>
      </c>
      <c r="B36" s="6"/>
      <c r="C36" s="6"/>
      <c r="D36" s="6"/>
      <c r="E36" s="24">
        <f>+Inputs!$K$24/Inputs!$K$25*E4/12</f>
        <v>12</v>
      </c>
      <c r="F36" s="24">
        <f>+Inputs!$K$24/Inputs!$K$25*F4/12</f>
        <v>12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14"/>
    </row>
    <row r="37" spans="1:30" ht="15">
      <c r="A37" s="5" t="s">
        <v>64</v>
      </c>
      <c r="B37" s="6"/>
      <c r="C37" s="6"/>
      <c r="D37" s="6"/>
      <c r="E37" s="48">
        <f>+E26</f>
        <v>13</v>
      </c>
      <c r="F37" s="48">
        <f>+F26</f>
        <v>13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14"/>
    </row>
    <row r="38" spans="1:30">
      <c r="A38" t="s">
        <v>65</v>
      </c>
      <c r="E38" s="25">
        <f>+E37*E36*E35</f>
        <v>4724.5734276000003</v>
      </c>
      <c r="F38" s="25">
        <f>+F37*F36*F35</f>
        <v>0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14"/>
    </row>
    <row r="39" spans="1:30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7"/>
    </row>
    <row r="40" spans="1:30">
      <c r="A40" s="5" t="s">
        <v>66</v>
      </c>
      <c r="B40" s="6"/>
      <c r="C40" s="6"/>
      <c r="D40" s="6"/>
      <c r="E40" s="50">
        <f>+E29+E21</f>
        <v>1566860.0609376</v>
      </c>
      <c r="F40" s="50">
        <f t="shared" ref="F40:U40" si="18">+F29+F21</f>
        <v>1566860.0609376</v>
      </c>
      <c r="G40" s="50">
        <f t="shared" si="18"/>
        <v>1566860.0609376</v>
      </c>
      <c r="H40" s="50">
        <f t="shared" si="18"/>
        <v>1566860.0609376</v>
      </c>
      <c r="I40" s="50">
        <f t="shared" si="18"/>
        <v>1566860.0609376</v>
      </c>
      <c r="J40" s="50">
        <f t="shared" si="18"/>
        <v>1566860.0609376</v>
      </c>
      <c r="K40" s="50">
        <f t="shared" si="18"/>
        <v>1566860.0609376</v>
      </c>
      <c r="L40" s="50">
        <f t="shared" si="18"/>
        <v>1566860.0609376</v>
      </c>
      <c r="M40" s="50">
        <f t="shared" si="18"/>
        <v>1566860.0609376</v>
      </c>
      <c r="N40" s="50">
        <f t="shared" si="18"/>
        <v>1566860.0609376</v>
      </c>
      <c r="O40" s="50">
        <f t="shared" si="18"/>
        <v>1566860.0609376</v>
      </c>
      <c r="P40" s="50">
        <f t="shared" si="18"/>
        <v>1566860.0609376</v>
      </c>
      <c r="Q40" s="50">
        <f t="shared" si="18"/>
        <v>1566860.0609376</v>
      </c>
      <c r="R40" s="50">
        <f t="shared" si="18"/>
        <v>1566860.0609376</v>
      </c>
      <c r="S40" s="50">
        <f t="shared" si="18"/>
        <v>1566860.0609376</v>
      </c>
      <c r="T40" s="50">
        <f t="shared" si="18"/>
        <v>1566860.0609376</v>
      </c>
      <c r="U40" s="50">
        <f t="shared" si="18"/>
        <v>1566860.0609376</v>
      </c>
      <c r="V40" s="50">
        <f t="shared" ref="V40:AC40" si="19">+V29+V21</f>
        <v>1566860.0609376</v>
      </c>
      <c r="W40" s="50">
        <f t="shared" si="19"/>
        <v>1566860.0609376</v>
      </c>
      <c r="X40" s="50">
        <f t="shared" si="19"/>
        <v>1566860.0609376</v>
      </c>
      <c r="Y40" s="50">
        <f t="shared" si="19"/>
        <v>1566860.0609376</v>
      </c>
      <c r="Z40" s="50">
        <f t="shared" si="19"/>
        <v>1566860.0609376</v>
      </c>
      <c r="AA40" s="50">
        <f t="shared" si="19"/>
        <v>1566860.0609376</v>
      </c>
      <c r="AB40" s="50">
        <f t="shared" si="19"/>
        <v>1566860.0609376</v>
      </c>
      <c r="AC40" s="51">
        <f t="shared" si="19"/>
        <v>0</v>
      </c>
      <c r="AD40" s="25">
        <f>SUM(E40:AC40)</f>
        <v>37604641.462502383</v>
      </c>
    </row>
    <row r="41" spans="1:30" ht="15">
      <c r="A41" s="5" t="s">
        <v>14</v>
      </c>
      <c r="B41" s="6"/>
      <c r="C41" s="6"/>
      <c r="D41" s="6"/>
      <c r="E41" s="43">
        <f>+Inputs!$K$10*(1+Inputs!$J$10)^(Model!E5-Inputs!$I$10)</f>
        <v>0.89</v>
      </c>
      <c r="F41" s="43">
        <f>+Inputs!$K$10*(1+Inputs!$J$10)^(Model!F5-Inputs!$I$10)</f>
        <v>0.90112499999999995</v>
      </c>
      <c r="G41" s="43">
        <f>+Inputs!$K$10*(1+Inputs!$J$10)^(Model!G5-Inputs!$I$10)</f>
        <v>0.91238906249999996</v>
      </c>
      <c r="H41" s="43">
        <f>+Inputs!$K$10*(1+Inputs!$J$10)^(Model!H5-Inputs!$I$10)</f>
        <v>0.92379392578124986</v>
      </c>
      <c r="I41" s="43">
        <f>+Inputs!$K$10*(1+Inputs!$J$10)^(Model!I5-Inputs!$I$10)</f>
        <v>0.93534134985351558</v>
      </c>
      <c r="J41" s="43">
        <f>+Inputs!$K$10*(1+Inputs!$J$10)^(Model!J5-Inputs!$I$10)</f>
        <v>0.94703311672668444</v>
      </c>
      <c r="K41" s="43">
        <f>+Inputs!$K$10*(1+Inputs!$J$10)^(Model!K5-Inputs!$I$10)</f>
        <v>0.95887103068576796</v>
      </c>
      <c r="L41" s="43">
        <f>+Inputs!$K$10*(1+Inputs!$J$10)^(Model!L5-Inputs!$I$10)</f>
        <v>0.97085691856933998</v>
      </c>
      <c r="M41" s="43">
        <f>+Inputs!$K$10*(1+Inputs!$J$10)^(Model!M5-Inputs!$I$10)</f>
        <v>0.98299263005145687</v>
      </c>
      <c r="N41" s="43">
        <f>+Inputs!$K$10*(1+Inputs!$J$10)^(Model!N5-Inputs!$I$10)</f>
        <v>0.99528003792710007</v>
      </c>
      <c r="O41" s="43">
        <f>+Inputs!$K$10*(1+Inputs!$J$10)^(Model!O5-Inputs!$I$10)</f>
        <v>1.007721038401189</v>
      </c>
      <c r="P41" s="43">
        <f>+Inputs!$K$10*(1+Inputs!$J$10)^(Model!P5-Inputs!$I$10)</f>
        <v>1.0203175513812035</v>
      </c>
      <c r="Q41" s="43">
        <f>+Inputs!$K$10*(1+Inputs!$J$10)^(Model!Q5-Inputs!$I$10)</f>
        <v>1.0330715207734686</v>
      </c>
      <c r="R41" s="43">
        <f>+Inputs!$K$10*(1+Inputs!$J$10)^(Model!R5-Inputs!$I$10)</f>
        <v>1.0459849147831368</v>
      </c>
      <c r="S41" s="43">
        <f>+Inputs!$K$10*(1+Inputs!$J$10)^(Model!S5-Inputs!$I$10)</f>
        <v>1.0590597262179262</v>
      </c>
      <c r="T41" s="43">
        <f>+Inputs!$K$10*(1+Inputs!$J$10)^(Model!T5-Inputs!$I$10)</f>
        <v>1.0722979727956501</v>
      </c>
      <c r="U41" s="43">
        <f>+Inputs!$K$10*(1+Inputs!$J$10)^(Model!U5-Inputs!$I$10)</f>
        <v>1.085701697455596</v>
      </c>
      <c r="V41" s="43">
        <f>+Inputs!$K$10*(1+Inputs!$J$10)^(Model!V5-Inputs!$I$10)</f>
        <v>1.0992729686737908</v>
      </c>
      <c r="W41" s="43">
        <f>+Inputs!$K$10*(1+Inputs!$J$10)^(Model!W5-Inputs!$I$10)</f>
        <v>1.1130138807822134</v>
      </c>
      <c r="X41" s="43">
        <f>+Inputs!$K$10*(1+Inputs!$J$10)^(Model!X5-Inputs!$I$10)</f>
        <v>1.1269265542919908</v>
      </c>
      <c r="Y41" s="43">
        <f>+Inputs!$K$10*(1+Inputs!$J$10)^(Model!Y5-Inputs!$I$10)</f>
        <v>1.1410131362206408</v>
      </c>
      <c r="Z41" s="43">
        <f>+Inputs!$K$10*(1+Inputs!$J$10)^(Model!Z5-Inputs!$I$10)</f>
        <v>1.1552758004233987</v>
      </c>
      <c r="AA41" s="43">
        <f>+Inputs!$K$10*(1+Inputs!$J$10)^(Model!AA5-Inputs!$I$10)</f>
        <v>1.1697167479286912</v>
      </c>
      <c r="AB41" s="43">
        <f>+Inputs!$K$10*(1+Inputs!$J$10)^(Model!AB5-Inputs!$I$10)</f>
        <v>1.1843382072777997</v>
      </c>
      <c r="AC41" s="44">
        <f>+Inputs!$K$10*(1+Inputs!$J$10)^(Model!AC5-Inputs!$I$10)</f>
        <v>1.1991424348687723</v>
      </c>
    </row>
    <row r="42" spans="1:30">
      <c r="A42" s="9" t="s">
        <v>67</v>
      </c>
      <c r="B42" s="10"/>
      <c r="C42" s="10"/>
      <c r="D42" s="10"/>
      <c r="E42" s="45">
        <f>+E40*E41</f>
        <v>1394505.4542344641</v>
      </c>
      <c r="F42" s="45">
        <f t="shared" ref="F42:U42" si="20">+F40*F41</f>
        <v>1411936.7724123946</v>
      </c>
      <c r="G42" s="45">
        <f t="shared" si="20"/>
        <v>1429585.9820675496</v>
      </c>
      <c r="H42" s="45">
        <f t="shared" si="20"/>
        <v>1447455.8068433939</v>
      </c>
      <c r="I42" s="45">
        <f t="shared" si="20"/>
        <v>1465549.0044289364</v>
      </c>
      <c r="J42" s="45">
        <f t="shared" si="20"/>
        <v>1483868.366984298</v>
      </c>
      <c r="K42" s="45">
        <f t="shared" si="20"/>
        <v>1502416.7215716017</v>
      </c>
      <c r="L42" s="45">
        <f t="shared" si="20"/>
        <v>1521196.9305912466</v>
      </c>
      <c r="M42" s="45">
        <f t="shared" si="20"/>
        <v>1540211.8922236373</v>
      </c>
      <c r="N42" s="45">
        <f t="shared" si="20"/>
        <v>1559464.5408764328</v>
      </c>
      <c r="O42" s="45">
        <f t="shared" si="20"/>
        <v>1578957.8476373884</v>
      </c>
      <c r="P42" s="45">
        <f t="shared" si="20"/>
        <v>1598694.8207328552</v>
      </c>
      <c r="Q42" s="45">
        <f t="shared" si="20"/>
        <v>1618678.5059920161</v>
      </c>
      <c r="R42" s="45">
        <f t="shared" si="20"/>
        <v>1638911.987316916</v>
      </c>
      <c r="S42" s="45">
        <f t="shared" si="20"/>
        <v>1659398.3871583778</v>
      </c>
      <c r="T42" s="45">
        <f t="shared" si="20"/>
        <v>1680140.8669978571</v>
      </c>
      <c r="U42" s="45">
        <f t="shared" si="20"/>
        <v>1701142.6278353308</v>
      </c>
      <c r="V42" s="45">
        <f t="shared" ref="V42:AC42" si="21">+V40*V41</f>
        <v>1722406.9106832722</v>
      </c>
      <c r="W42" s="45">
        <f t="shared" si="21"/>
        <v>1743936.9970668135</v>
      </c>
      <c r="X42" s="45">
        <f t="shared" si="21"/>
        <v>1765736.2095301484</v>
      </c>
      <c r="Y42" s="45">
        <f t="shared" si="21"/>
        <v>1787807.9121492754</v>
      </c>
      <c r="Z42" s="45">
        <f t="shared" si="21"/>
        <v>1810155.5110511412</v>
      </c>
      <c r="AA42" s="45">
        <f t="shared" si="21"/>
        <v>1832782.4549392804</v>
      </c>
      <c r="AB42" s="45">
        <f t="shared" si="21"/>
        <v>1855692.2356260212</v>
      </c>
      <c r="AC42" s="15">
        <f t="shared" si="21"/>
        <v>0</v>
      </c>
      <c r="AD42" s="25">
        <f>SUM(E42:AC42)</f>
        <v>38750634.746950656</v>
      </c>
    </row>
    <row r="44" spans="1:30">
      <c r="A44" s="22" t="s">
        <v>68</v>
      </c>
      <c r="B44" s="3"/>
      <c r="C44" s="3"/>
      <c r="D44" s="3"/>
      <c r="E44" s="37">
        <f>+Inputs!$K$8*(1+Inputs!$J$8)^(Model!E5-Inputs!$I$8)</f>
        <v>95000</v>
      </c>
      <c r="F44" s="37">
        <f>+Inputs!$K$8*(1+Inputs!$J$8)^(Model!F5-Inputs!$I$8)</f>
        <v>95000</v>
      </c>
      <c r="G44" s="37">
        <f>+Inputs!$K$8*(1+Inputs!$J$8)^(Model!G5-Inputs!$I$8)</f>
        <v>95000</v>
      </c>
      <c r="H44" s="37">
        <f>+Inputs!$K$8*(1+Inputs!$J$8)^(Model!H5-Inputs!$I$8)</f>
        <v>95000</v>
      </c>
      <c r="I44" s="37">
        <f>+Inputs!$K$8*(1+Inputs!$J$8)^(Model!I5-Inputs!$I$8)</f>
        <v>95000</v>
      </c>
      <c r="J44" s="37">
        <f>+Inputs!$K$8*(1+Inputs!$J$8)^(Model!J5-Inputs!$I$8)</f>
        <v>95000</v>
      </c>
      <c r="K44" s="37">
        <f>+Inputs!$K$8*(1+Inputs!$J$8)^(Model!K5-Inputs!$I$8)</f>
        <v>95000</v>
      </c>
      <c r="L44" s="37">
        <f>+Inputs!$K$8*(1+Inputs!$J$8)^(Model!L5-Inputs!$I$8)</f>
        <v>95000</v>
      </c>
      <c r="M44" s="37">
        <f>+Inputs!$K$8*(1+Inputs!$J$8)^(Model!M5-Inputs!$I$8)</f>
        <v>95000</v>
      </c>
      <c r="N44" s="37">
        <f>+Inputs!$K$8*(1+Inputs!$J$8)^(Model!N5-Inputs!$I$8)</f>
        <v>95000</v>
      </c>
      <c r="O44" s="37">
        <f>+Inputs!$K$8*(1+Inputs!$J$8)^(Model!O5-Inputs!$I$8)</f>
        <v>95000</v>
      </c>
      <c r="P44" s="37">
        <f>+Inputs!$K$8*(1+Inputs!$J$8)^(Model!P5-Inputs!$I$8)</f>
        <v>95000</v>
      </c>
      <c r="Q44" s="37">
        <f>+Inputs!$K$8*(1+Inputs!$J$8)^(Model!Q5-Inputs!$I$8)</f>
        <v>95000</v>
      </c>
      <c r="R44" s="37">
        <f>+Inputs!$K$8*(1+Inputs!$J$8)^(Model!R5-Inputs!$I$8)</f>
        <v>95000</v>
      </c>
      <c r="S44" s="37">
        <f>+Inputs!$K$8*(1+Inputs!$J$8)^(Model!S5-Inputs!$I$8)</f>
        <v>95000</v>
      </c>
      <c r="T44" s="37">
        <f>+Inputs!$K$8*(1+Inputs!$J$8)^(Model!T5-Inputs!$I$8)</f>
        <v>95000</v>
      </c>
      <c r="U44" s="37">
        <f>+Inputs!$K$8*(1+Inputs!$J$8)^(Model!U5-Inputs!$I$8)</f>
        <v>95000</v>
      </c>
      <c r="V44" s="37">
        <f>+Inputs!$K$8*(1+Inputs!$J$8)^(Model!V5-Inputs!$I$8)</f>
        <v>95000</v>
      </c>
      <c r="W44" s="37">
        <f>+Inputs!$K$8*(1+Inputs!$J$8)^(Model!W5-Inputs!$I$8)</f>
        <v>95000</v>
      </c>
      <c r="X44" s="37">
        <f>+Inputs!$K$8*(1+Inputs!$J$8)^(Model!X5-Inputs!$I$8)</f>
        <v>95000</v>
      </c>
      <c r="Y44" s="37">
        <f>+Inputs!$K$8*(1+Inputs!$J$8)^(Model!Y5-Inputs!$I$8)</f>
        <v>95000</v>
      </c>
      <c r="Z44" s="37">
        <f>+Inputs!$K$8*(1+Inputs!$J$8)^(Model!Z5-Inputs!$I$8)</f>
        <v>95000</v>
      </c>
      <c r="AA44" s="37">
        <f>+Inputs!$K$8*(1+Inputs!$J$8)^(Model!AA5-Inputs!$I$8)</f>
        <v>95000</v>
      </c>
      <c r="AB44" s="37">
        <f>+Inputs!$K$8*(1+Inputs!$J$8)^(Model!AB5-Inputs!$I$8)</f>
        <v>95000</v>
      </c>
      <c r="AC44" s="38">
        <f>+Inputs!$K$8*(1+Inputs!$J$8)^(Model!AC5-Inputs!$I$8)</f>
        <v>95000</v>
      </c>
      <c r="AD44" s="25">
        <f>SUM(E44:AC44)</f>
        <v>2375000</v>
      </c>
    </row>
    <row r="45" spans="1:30">
      <c r="A45" s="5" t="s">
        <v>51</v>
      </c>
      <c r="B45" s="6"/>
      <c r="C45" s="6"/>
      <c r="D45" s="6"/>
      <c r="E45" s="39">
        <f>+Inputs!$K$24*Model!E4/12</f>
        <v>12</v>
      </c>
      <c r="F45" s="39">
        <f>+Inputs!$K$24*Model!F4/12</f>
        <v>12</v>
      </c>
      <c r="G45" s="39">
        <f>+Inputs!$K$24*Model!G4/12</f>
        <v>12</v>
      </c>
      <c r="H45" s="39">
        <f>+Inputs!$K$24*Model!H4/12</f>
        <v>12</v>
      </c>
      <c r="I45" s="39">
        <f>+Inputs!$K$24*Model!I4/12</f>
        <v>12</v>
      </c>
      <c r="J45" s="39">
        <f>+Inputs!$K$24*Model!J4/12</f>
        <v>12</v>
      </c>
      <c r="K45" s="39">
        <f>+Inputs!$K$24*Model!K4/12</f>
        <v>12</v>
      </c>
      <c r="L45" s="39">
        <f>+Inputs!$K$24*Model!L4/12</f>
        <v>12</v>
      </c>
      <c r="M45" s="39">
        <f>+Inputs!$K$24*Model!M4/12</f>
        <v>12</v>
      </c>
      <c r="N45" s="39">
        <f>+Inputs!$K$24*Model!N4/12</f>
        <v>12</v>
      </c>
      <c r="O45" s="39">
        <f>+Inputs!$K$24*Model!O4/12</f>
        <v>12</v>
      </c>
      <c r="P45" s="39">
        <f>+Inputs!$K$24*Model!P4/12</f>
        <v>12</v>
      </c>
      <c r="Q45" s="39">
        <f>+Inputs!$K$24*Model!Q4/12</f>
        <v>12</v>
      </c>
      <c r="R45" s="39">
        <f>+Inputs!$K$24*Model!R4/12</f>
        <v>12</v>
      </c>
      <c r="S45" s="39">
        <f>+Inputs!$K$24*Model!S4/12</f>
        <v>12</v>
      </c>
      <c r="T45" s="39">
        <f>+Inputs!$K$24*Model!T4/12</f>
        <v>12</v>
      </c>
      <c r="U45" s="39">
        <f>+Inputs!$K$24*Model!U4/12</f>
        <v>12</v>
      </c>
      <c r="V45" s="39">
        <f>+Inputs!$K$24*Model!V4/12</f>
        <v>12</v>
      </c>
      <c r="W45" s="39">
        <f>+Inputs!$K$24*Model!W4/12</f>
        <v>12</v>
      </c>
      <c r="X45" s="39">
        <f>+Inputs!$K$24*Model!X4/12</f>
        <v>12</v>
      </c>
      <c r="Y45" s="39">
        <f>+Inputs!$K$24*Model!Y4/12</f>
        <v>12</v>
      </c>
      <c r="Z45" s="39">
        <f>+Inputs!$K$24*Model!Z4/12</f>
        <v>12</v>
      </c>
      <c r="AA45" s="39">
        <f>+Inputs!$K$24*Model!AA4/12</f>
        <v>12</v>
      </c>
      <c r="AB45" s="39">
        <f>+Inputs!$K$24*Model!AB4/12</f>
        <v>12</v>
      </c>
      <c r="AC45" s="40">
        <f>+Inputs!$K$24*Model!AC4/12</f>
        <v>0</v>
      </c>
    </row>
    <row r="46" spans="1:30">
      <c r="A46" s="5" t="s">
        <v>69</v>
      </c>
      <c r="B46" s="6"/>
      <c r="C46" s="6"/>
      <c r="D46" s="6"/>
      <c r="E46" s="24">
        <f>+E44*E45</f>
        <v>1140000</v>
      </c>
      <c r="F46" s="24">
        <f>+F44*F45</f>
        <v>1140000</v>
      </c>
      <c r="G46" s="24">
        <f t="shared" ref="G46:V46" si="22">+G44*G45</f>
        <v>1140000</v>
      </c>
      <c r="H46" s="24">
        <f t="shared" si="22"/>
        <v>1140000</v>
      </c>
      <c r="I46" s="24">
        <f t="shared" si="22"/>
        <v>1140000</v>
      </c>
      <c r="J46" s="24">
        <f t="shared" si="22"/>
        <v>1140000</v>
      </c>
      <c r="K46" s="24">
        <f t="shared" si="22"/>
        <v>1140000</v>
      </c>
      <c r="L46" s="24">
        <f t="shared" si="22"/>
        <v>1140000</v>
      </c>
      <c r="M46" s="24">
        <f t="shared" si="22"/>
        <v>1140000</v>
      </c>
      <c r="N46" s="24">
        <f t="shared" si="22"/>
        <v>1140000</v>
      </c>
      <c r="O46" s="24">
        <f t="shared" si="22"/>
        <v>1140000</v>
      </c>
      <c r="P46" s="24">
        <f t="shared" si="22"/>
        <v>1140000</v>
      </c>
      <c r="Q46" s="24">
        <f t="shared" si="22"/>
        <v>1140000</v>
      </c>
      <c r="R46" s="24">
        <f t="shared" si="22"/>
        <v>1140000</v>
      </c>
      <c r="S46" s="24">
        <f t="shared" si="22"/>
        <v>1140000</v>
      </c>
      <c r="T46" s="24">
        <f t="shared" si="22"/>
        <v>1140000</v>
      </c>
      <c r="U46" s="24">
        <f t="shared" si="22"/>
        <v>1140000</v>
      </c>
      <c r="V46" s="24">
        <f t="shared" si="22"/>
        <v>1140000</v>
      </c>
      <c r="W46" s="24">
        <f t="shared" ref="W46:AC46" si="23">+W44*W45</f>
        <v>1140000</v>
      </c>
      <c r="X46" s="24">
        <f t="shared" si="23"/>
        <v>1140000</v>
      </c>
      <c r="Y46" s="24">
        <f t="shared" si="23"/>
        <v>1140000</v>
      </c>
      <c r="Z46" s="24">
        <f t="shared" si="23"/>
        <v>1140000</v>
      </c>
      <c r="AA46" s="24">
        <f t="shared" si="23"/>
        <v>1140000</v>
      </c>
      <c r="AB46" s="24">
        <f t="shared" si="23"/>
        <v>1140000</v>
      </c>
      <c r="AC46" s="14">
        <f t="shared" si="23"/>
        <v>0</v>
      </c>
      <c r="AD46" s="25">
        <f>SUM(E46:AC46)</f>
        <v>27360000</v>
      </c>
    </row>
    <row r="47" spans="1:30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7"/>
    </row>
    <row r="48" spans="1:30">
      <c r="A48" s="5" t="s">
        <v>70</v>
      </c>
      <c r="B48" s="6"/>
      <c r="C48" s="6"/>
      <c r="D48" s="6"/>
      <c r="E48" s="24">
        <f>+Inputs!$D$21*Model!E4/12</f>
        <v>23782000</v>
      </c>
      <c r="F48" s="24">
        <f>+Inputs!$D$21*Model!F4/12</f>
        <v>23782000</v>
      </c>
      <c r="G48" s="24">
        <f>+Inputs!$D$21*Model!G4/12</f>
        <v>23782000</v>
      </c>
      <c r="H48" s="24">
        <f>+Inputs!$D$21*Model!H4/12</f>
        <v>23782000</v>
      </c>
      <c r="I48" s="24">
        <f>+Inputs!$D$21*Model!I4/12</f>
        <v>23782000</v>
      </c>
      <c r="J48" s="24">
        <f>+Inputs!$D$21*Model!J4/12</f>
        <v>23782000</v>
      </c>
      <c r="K48" s="24">
        <f>+Inputs!$D$21*Model!K4/12</f>
        <v>23782000</v>
      </c>
      <c r="L48" s="24">
        <f>+Inputs!$D$21*Model!L4/12</f>
        <v>23782000</v>
      </c>
      <c r="M48" s="24">
        <f>+Inputs!$D$21*Model!M4/12</f>
        <v>23782000</v>
      </c>
      <c r="N48" s="24">
        <f>+Inputs!$D$21*Model!N4/12</f>
        <v>23782000</v>
      </c>
      <c r="O48" s="24">
        <f>+Inputs!$D$21*Model!O4/12</f>
        <v>23782000</v>
      </c>
      <c r="P48" s="24">
        <f>+Inputs!$D$21*Model!P4/12</f>
        <v>23782000</v>
      </c>
      <c r="Q48" s="24">
        <f>+Inputs!$D$21*Model!Q4/12</f>
        <v>23782000</v>
      </c>
      <c r="R48" s="24">
        <f>+Inputs!$D$21*Model!R4/12</f>
        <v>23782000</v>
      </c>
      <c r="S48" s="24">
        <f>+Inputs!$D$21*Model!S4/12</f>
        <v>23782000</v>
      </c>
      <c r="T48" s="24">
        <f>+Inputs!$D$21*Model!T4/12</f>
        <v>23782000</v>
      </c>
      <c r="U48" s="24">
        <f>+Inputs!$D$21*Model!U4/12</f>
        <v>23782000</v>
      </c>
      <c r="V48" s="24">
        <f>+Inputs!$D$21*Model!V4/12</f>
        <v>23782000</v>
      </c>
      <c r="W48" s="24">
        <f>+Inputs!$D$21*Model!W4/12</f>
        <v>23782000</v>
      </c>
      <c r="X48" s="24">
        <f>+Inputs!$D$21*Model!X4/12</f>
        <v>23782000</v>
      </c>
      <c r="Y48" s="24">
        <f>+Inputs!$D$21*Model!Y4/12</f>
        <v>23782000</v>
      </c>
      <c r="Z48" s="24">
        <f>+Inputs!$D$21*Model!Z4/12</f>
        <v>23782000</v>
      </c>
      <c r="AA48" s="24">
        <f>+Inputs!$D$21*Model!AA4/12</f>
        <v>23782000</v>
      </c>
      <c r="AB48" s="24">
        <f>+Inputs!$D$21*Model!AB4/12</f>
        <v>23782000</v>
      </c>
      <c r="AC48" s="56">
        <f>+Inputs!$D$21*Model!AC4/12</f>
        <v>0</v>
      </c>
      <c r="AD48" s="25">
        <f>SUM(E48:AC48)</f>
        <v>570768000</v>
      </c>
    </row>
    <row r="49" spans="1:30" ht="15">
      <c r="A49" s="5" t="s">
        <v>71</v>
      </c>
      <c r="B49" s="6"/>
      <c r="C49" s="6"/>
      <c r="D49" s="6"/>
      <c r="E49" s="43">
        <f>+Inputs!$K$14*(1+Inputs!$J$14)^(Model!E5-Inputs!$I$14)</f>
        <v>0.28102227609380437</v>
      </c>
      <c r="F49" s="43">
        <f>+Inputs!$K$14*(1+Inputs!$J$14)^(Model!F5-Inputs!$I$14)</f>
        <v>0.2894529443766185</v>
      </c>
      <c r="G49" s="43">
        <f>+Inputs!$K$14*(1+Inputs!$J$14)^(Model!G5-Inputs!$I$14)</f>
        <v>0.29813653270791707</v>
      </c>
      <c r="H49" s="43">
        <f>+Inputs!$K$14*(1+Inputs!$J$14)^(Model!H5-Inputs!$I$14)</f>
        <v>0.30708062868915459</v>
      </c>
      <c r="I49" s="43">
        <f>+Inputs!$K$14*(1+Inputs!$J$14)^(Model!I5-Inputs!$I$14)</f>
        <v>0.31629304754982918</v>
      </c>
      <c r="J49" s="43">
        <f>+Inputs!$K$14*(1+Inputs!$J$14)^(Model!J5-Inputs!$I$14)</f>
        <v>0.32578183897632401</v>
      </c>
      <c r="K49" s="43">
        <f>+Inputs!$K$14*(1+Inputs!$J$14)^(Model!K5-Inputs!$I$14)</f>
        <v>0.3355552941456138</v>
      </c>
      <c r="L49" s="43">
        <f>+Inputs!$K$14*(1+Inputs!$J$14)^(Model!L5-Inputs!$I$14)</f>
        <v>0.34562195296998222</v>
      </c>
      <c r="M49" s="43">
        <f>+Inputs!$K$14*(1+Inputs!$J$14)^(Model!M5-Inputs!$I$14)</f>
        <v>0.35599061155908163</v>
      </c>
      <c r="N49" s="43">
        <f>+Inputs!$K$14*(1+Inputs!$J$14)^(Model!N5-Inputs!$I$14)</f>
        <v>0.36667032990585408</v>
      </c>
      <c r="O49" s="43">
        <f>+Inputs!$K$14*(1+Inputs!$J$14)^(Model!O5-Inputs!$I$14)</f>
        <v>0.37767043980302972</v>
      </c>
      <c r="P49" s="43">
        <f>+Inputs!$K$14*(1+Inputs!$J$14)^(Model!P5-Inputs!$I$14)</f>
        <v>0.38900055299712061</v>
      </c>
      <c r="Q49" s="43">
        <f>+Inputs!$K$14*(1+Inputs!$J$14)^(Model!Q5-Inputs!$I$14)</f>
        <v>0.40067056958703418</v>
      </c>
      <c r="R49" s="43">
        <f>+Inputs!$K$14*(1+Inputs!$J$14)^(Model!R5-Inputs!$I$14)</f>
        <v>0.4126906866746452</v>
      </c>
      <c r="S49" s="43">
        <f>+Inputs!$K$14*(1+Inputs!$J$14)^(Model!S5-Inputs!$I$14)</f>
        <v>0.42507140727488457</v>
      </c>
      <c r="T49" s="43">
        <f>+Inputs!$K$14*(1+Inputs!$J$14)^(Model!T5-Inputs!$I$14)</f>
        <v>0.43782354949313118</v>
      </c>
      <c r="U49" s="43">
        <f>+Inputs!$K$14*(1+Inputs!$J$14)^(Model!U5-Inputs!$I$14)</f>
        <v>0.45095825597792499</v>
      </c>
      <c r="V49" s="43">
        <f>+Inputs!$K$14*(1+Inputs!$J$14)^(Model!V5-Inputs!$I$14)</f>
        <v>0.46448700365726275</v>
      </c>
      <c r="W49" s="43">
        <f>+Inputs!$K$14*(1+Inputs!$J$14)^(Model!W5-Inputs!$I$14)</f>
        <v>0.47842161376698067</v>
      </c>
      <c r="X49" s="43">
        <f>+Inputs!$K$14*(1+Inputs!$J$14)^(Model!X5-Inputs!$I$14)</f>
        <v>0.49277426217999004</v>
      </c>
      <c r="Y49" s="43">
        <f>+Inputs!$K$14*(1+Inputs!$J$14)^(Model!Y5-Inputs!$I$14)</f>
        <v>0.50755749004538975</v>
      </c>
      <c r="Z49" s="43">
        <f>+Inputs!$K$14*(1+Inputs!$J$14)^(Model!Z5-Inputs!$I$14)</f>
        <v>0.52278421474675141</v>
      </c>
      <c r="AA49" s="43">
        <f>+Inputs!$K$14*(1+Inputs!$J$14)^(Model!AA5-Inputs!$I$14)</f>
        <v>0.53846774118915397</v>
      </c>
      <c r="AB49" s="43">
        <f>+Inputs!$K$14*(1+Inputs!$J$14)^(Model!AB5-Inputs!$I$14)</f>
        <v>0.55462177342482866</v>
      </c>
      <c r="AC49" s="44">
        <f>+Inputs!$K$14*(1+Inputs!$J$14)^(Model!AC5-Inputs!$I$14)</f>
        <v>0.57126042662757337</v>
      </c>
    </row>
    <row r="50" spans="1:30">
      <c r="A50" s="9" t="s">
        <v>72</v>
      </c>
      <c r="B50" s="10"/>
      <c r="C50" s="10"/>
      <c r="D50" s="10"/>
      <c r="E50" s="45">
        <f>+E48*E49</f>
        <v>6683271.7700628554</v>
      </c>
      <c r="F50" s="45">
        <f t="shared" ref="F50:U50" si="24">+F48*F49</f>
        <v>6883769.9231647411</v>
      </c>
      <c r="G50" s="45">
        <f t="shared" si="24"/>
        <v>7090283.0208596839</v>
      </c>
      <c r="H50" s="45">
        <f t="shared" si="24"/>
        <v>7302991.5114854742</v>
      </c>
      <c r="I50" s="45">
        <f t="shared" si="24"/>
        <v>7522081.2568300376</v>
      </c>
      <c r="J50" s="45">
        <f t="shared" si="24"/>
        <v>7747743.6945349379</v>
      </c>
      <c r="K50" s="45">
        <f t="shared" si="24"/>
        <v>7980176.0053709876</v>
      </c>
      <c r="L50" s="45">
        <f t="shared" si="24"/>
        <v>8219581.2855321169</v>
      </c>
      <c r="M50" s="45">
        <f t="shared" si="24"/>
        <v>8466168.7240980789</v>
      </c>
      <c r="N50" s="45">
        <f t="shared" si="24"/>
        <v>8720153.7858210225</v>
      </c>
      <c r="O50" s="45">
        <f t="shared" si="24"/>
        <v>8981758.3993956521</v>
      </c>
      <c r="P50" s="45">
        <f t="shared" si="24"/>
        <v>9251211.1513775215</v>
      </c>
      <c r="Q50" s="45">
        <f t="shared" si="24"/>
        <v>9528747.485918846</v>
      </c>
      <c r="R50" s="45">
        <f t="shared" si="24"/>
        <v>9814609.9104964118</v>
      </c>
      <c r="S50" s="45">
        <f t="shared" si="24"/>
        <v>10109048.207811305</v>
      </c>
      <c r="T50" s="45">
        <f t="shared" si="24"/>
        <v>10412319.654045645</v>
      </c>
      <c r="U50" s="45">
        <f t="shared" si="24"/>
        <v>10724689.243667012</v>
      </c>
      <c r="V50" s="45">
        <f t="shared" ref="V50:AC50" si="25">+V48*V49</f>
        <v>11046429.920977022</v>
      </c>
      <c r="W50" s="45">
        <f t="shared" si="25"/>
        <v>11377822.818606334</v>
      </c>
      <c r="X50" s="45">
        <f t="shared" si="25"/>
        <v>11719157.503164522</v>
      </c>
      <c r="Y50" s="45">
        <f t="shared" si="25"/>
        <v>12070732.228259459</v>
      </c>
      <c r="Z50" s="45">
        <f t="shared" si="25"/>
        <v>12432854.195107242</v>
      </c>
      <c r="AA50" s="45">
        <f t="shared" si="25"/>
        <v>12805839.82096046</v>
      </c>
      <c r="AB50" s="45">
        <f t="shared" si="25"/>
        <v>13190015.015589274</v>
      </c>
      <c r="AC50" s="15">
        <f t="shared" si="25"/>
        <v>0</v>
      </c>
      <c r="AD50" s="25">
        <f>SUM(E50:AC50)</f>
        <v>230081456.53313667</v>
      </c>
    </row>
    <row r="52" spans="1:30">
      <c r="A52" s="22" t="s">
        <v>130</v>
      </c>
      <c r="B52" s="3"/>
      <c r="C52" s="3"/>
      <c r="D52" s="3"/>
      <c r="E52" s="3">
        <f>+Inputs!$D$13</f>
        <v>145</v>
      </c>
      <c r="F52" s="3">
        <f>+Inputs!$D$13</f>
        <v>145</v>
      </c>
      <c r="G52" s="3">
        <f>+Inputs!$D$13</f>
        <v>145</v>
      </c>
      <c r="H52" s="3">
        <f>+Inputs!$D$13</f>
        <v>145</v>
      </c>
      <c r="I52" s="3">
        <f>+Inputs!$D$13</f>
        <v>145</v>
      </c>
      <c r="J52" s="3">
        <f>+Inputs!$D$13</f>
        <v>145</v>
      </c>
      <c r="K52" s="3">
        <f>+Inputs!$D$13</f>
        <v>145</v>
      </c>
      <c r="L52" s="3">
        <f>+Inputs!$D$13</f>
        <v>145</v>
      </c>
      <c r="M52" s="3">
        <f>+Inputs!$D$13</f>
        <v>145</v>
      </c>
      <c r="N52" s="3">
        <f>+Inputs!$D$13</f>
        <v>145</v>
      </c>
      <c r="O52" s="3">
        <f>+Inputs!$D$13</f>
        <v>145</v>
      </c>
      <c r="P52" s="3">
        <f>+Inputs!$D$13</f>
        <v>145</v>
      </c>
      <c r="Q52" s="3">
        <f>+Inputs!$D$13</f>
        <v>145</v>
      </c>
      <c r="R52" s="3">
        <f>+Inputs!$D$13</f>
        <v>145</v>
      </c>
      <c r="S52" s="3">
        <f>+Inputs!$D$13</f>
        <v>145</v>
      </c>
      <c r="T52" s="3">
        <f>+Inputs!$D$13</f>
        <v>145</v>
      </c>
      <c r="U52" s="3">
        <f>+Inputs!$D$13</f>
        <v>145</v>
      </c>
      <c r="V52" s="3">
        <f>+Inputs!$D$13</f>
        <v>145</v>
      </c>
      <c r="W52" s="3">
        <f>+Inputs!$D$13</f>
        <v>145</v>
      </c>
      <c r="X52" s="3">
        <f>+Inputs!$D$13</f>
        <v>145</v>
      </c>
      <c r="Y52" s="3">
        <f>+Inputs!$D$13</f>
        <v>145</v>
      </c>
      <c r="Z52" s="3">
        <f>+Inputs!$D$13</f>
        <v>145</v>
      </c>
      <c r="AA52" s="3">
        <f>+Inputs!$D$13</f>
        <v>145</v>
      </c>
      <c r="AB52" s="3">
        <f>+Inputs!$D$13</f>
        <v>145</v>
      </c>
      <c r="AC52" s="4">
        <f>+Inputs!$D$13</f>
        <v>145</v>
      </c>
    </row>
    <row r="53" spans="1:30">
      <c r="A53" s="5" t="s">
        <v>134</v>
      </c>
      <c r="B53" s="6"/>
      <c r="C53" s="6"/>
      <c r="D53" s="6"/>
      <c r="E53" s="109">
        <f>ROUNDUP((Inputs!$K$19/2),0)</f>
        <v>13</v>
      </c>
      <c r="F53" s="109">
        <f>ROUNDUP((Inputs!$K$19/2),0)</f>
        <v>13</v>
      </c>
      <c r="G53" s="109">
        <f>ROUNDUP((Inputs!$K$19/2),0)</f>
        <v>13</v>
      </c>
      <c r="H53" s="109">
        <f>ROUNDUP((Inputs!$K$19/2),0)</f>
        <v>13</v>
      </c>
      <c r="I53" s="109">
        <f>ROUNDUP((Inputs!$K$19/2),0)</f>
        <v>13</v>
      </c>
      <c r="J53" s="109">
        <f>ROUNDUP((Inputs!$K$19/2),0)</f>
        <v>13</v>
      </c>
      <c r="K53" s="109">
        <f>ROUNDUP((Inputs!$K$19/2),0)</f>
        <v>13</v>
      </c>
      <c r="L53" s="109">
        <f>ROUNDUP((Inputs!$K$19/2),0)</f>
        <v>13</v>
      </c>
      <c r="M53" s="109">
        <f>ROUNDUP((Inputs!$K$19/2),0)</f>
        <v>13</v>
      </c>
      <c r="N53" s="109">
        <f>ROUNDUP((Inputs!$K$19/2),0)</f>
        <v>13</v>
      </c>
      <c r="O53" s="109">
        <f>ROUNDUP((Inputs!$K$19/2),0)</f>
        <v>13</v>
      </c>
      <c r="P53" s="109">
        <f>ROUNDUP((Inputs!$K$19/2),0)</f>
        <v>13</v>
      </c>
      <c r="Q53" s="109">
        <f>ROUNDUP((Inputs!$K$19/2),0)</f>
        <v>13</v>
      </c>
      <c r="R53" s="109">
        <f>ROUNDUP((Inputs!$K$19/2),0)</f>
        <v>13</v>
      </c>
      <c r="S53" s="109">
        <f>ROUNDUP((Inputs!$K$19/2),0)</f>
        <v>13</v>
      </c>
      <c r="T53" s="109">
        <f>ROUNDUP((Inputs!$K$19/2),0)</f>
        <v>13</v>
      </c>
      <c r="U53" s="109">
        <f>ROUNDUP((Inputs!$K$19/2),0)</f>
        <v>13</v>
      </c>
      <c r="V53" s="109">
        <f>ROUNDUP((Inputs!$K$19/2),0)</f>
        <v>13</v>
      </c>
      <c r="W53" s="109">
        <f>ROUNDUP((Inputs!$K$19/2),0)</f>
        <v>13</v>
      </c>
      <c r="X53" s="109">
        <f>ROUNDUP((Inputs!$K$19/2),0)</f>
        <v>13</v>
      </c>
      <c r="Y53" s="109">
        <f>ROUNDUP((Inputs!$K$19/2),0)</f>
        <v>13</v>
      </c>
      <c r="Z53" s="109">
        <f>ROUNDUP((Inputs!$K$19/2),0)</f>
        <v>13</v>
      </c>
      <c r="AA53" s="109">
        <f>ROUNDUP((Inputs!$K$19/2),0)</f>
        <v>13</v>
      </c>
      <c r="AB53" s="109">
        <f>ROUNDUP((Inputs!$K$19/2),0)</f>
        <v>13</v>
      </c>
      <c r="AC53" s="109">
        <f>ROUNDUP((Inputs!$K$19/2),0)</f>
        <v>13</v>
      </c>
    </row>
    <row r="54" spans="1:30">
      <c r="A54" s="22" t="s">
        <v>131</v>
      </c>
      <c r="B54" s="6"/>
      <c r="C54" s="6"/>
      <c r="D54" s="6"/>
      <c r="E54" s="6">
        <f>Inputs!$D$14</f>
        <v>140</v>
      </c>
      <c r="F54" s="6">
        <f>Inputs!$D$14</f>
        <v>140</v>
      </c>
      <c r="G54" s="6">
        <f>Inputs!$D$14</f>
        <v>140</v>
      </c>
      <c r="H54" s="6">
        <f>Inputs!$D$14</f>
        <v>140</v>
      </c>
      <c r="I54" s="6">
        <f>Inputs!$D$14</f>
        <v>140</v>
      </c>
      <c r="J54" s="6">
        <f>Inputs!$D$14</f>
        <v>140</v>
      </c>
      <c r="K54" s="6">
        <f>Inputs!$D$14</f>
        <v>140</v>
      </c>
      <c r="L54" s="6">
        <f>Inputs!$D$14</f>
        <v>140</v>
      </c>
      <c r="M54" s="6">
        <f>Inputs!$D$14</f>
        <v>140</v>
      </c>
      <c r="N54" s="6">
        <f>Inputs!$D$14</f>
        <v>140</v>
      </c>
      <c r="O54" s="6">
        <f>Inputs!$D$14</f>
        <v>140</v>
      </c>
      <c r="P54" s="6">
        <f>Inputs!$D$14</f>
        <v>140</v>
      </c>
      <c r="Q54" s="6">
        <f>Inputs!$D$14</f>
        <v>140</v>
      </c>
      <c r="R54" s="6">
        <f>Inputs!$D$14</f>
        <v>140</v>
      </c>
      <c r="S54" s="6">
        <f>Inputs!$D$14</f>
        <v>140</v>
      </c>
      <c r="T54" s="6">
        <f>Inputs!$D$14</f>
        <v>140</v>
      </c>
      <c r="U54" s="6">
        <f>Inputs!$D$14</f>
        <v>140</v>
      </c>
      <c r="V54" s="6">
        <f>Inputs!$D$14</f>
        <v>140</v>
      </c>
      <c r="W54" s="6">
        <f>Inputs!$D$14</f>
        <v>140</v>
      </c>
      <c r="X54" s="6">
        <f>Inputs!$D$14</f>
        <v>140</v>
      </c>
      <c r="Y54" s="6">
        <f>Inputs!$D$14</f>
        <v>140</v>
      </c>
      <c r="Z54" s="6">
        <f>Inputs!$D$14</f>
        <v>140</v>
      </c>
      <c r="AA54" s="6">
        <f>Inputs!$D$14</f>
        <v>140</v>
      </c>
      <c r="AB54" s="6">
        <f>Inputs!$D$14</f>
        <v>140</v>
      </c>
      <c r="AC54" s="6">
        <f>Inputs!$D$14</f>
        <v>140</v>
      </c>
    </row>
    <row r="55" spans="1:30" ht="15">
      <c r="A55" s="5" t="s">
        <v>135</v>
      </c>
      <c r="B55" s="6"/>
      <c r="C55" s="6"/>
      <c r="D55" s="6"/>
      <c r="E55" s="110">
        <f>(ROUNDUP(Inputs!$K$19/2,0))</f>
        <v>13</v>
      </c>
      <c r="F55" s="110">
        <f>(ROUNDUP(Inputs!$K$19/2,0))</f>
        <v>13</v>
      </c>
      <c r="G55" s="110">
        <f>(ROUNDUP(Inputs!$K$19/2,0))</f>
        <v>13</v>
      </c>
      <c r="H55" s="110">
        <f>(ROUNDUP(Inputs!$K$19/2,0))</f>
        <v>13</v>
      </c>
      <c r="I55" s="110">
        <f>(ROUNDUP(Inputs!$K$19/2,0))</f>
        <v>13</v>
      </c>
      <c r="J55" s="110">
        <f>(ROUNDUP(Inputs!$K$19/2,0))</f>
        <v>13</v>
      </c>
      <c r="K55" s="110">
        <f>(ROUNDUP(Inputs!$K$19/2,0))</f>
        <v>13</v>
      </c>
      <c r="L55" s="110">
        <f>(ROUNDUP(Inputs!$K$19/2,0))</f>
        <v>13</v>
      </c>
      <c r="M55" s="110">
        <f>(ROUNDUP(Inputs!$K$19/2,0))</f>
        <v>13</v>
      </c>
      <c r="N55" s="110">
        <f>(ROUNDUP(Inputs!$K$19/2,0))</f>
        <v>13</v>
      </c>
      <c r="O55" s="110">
        <f>(ROUNDUP(Inputs!$K$19/2,0))</f>
        <v>13</v>
      </c>
      <c r="P55" s="110">
        <f>(ROUNDUP(Inputs!$K$19/2,0))</f>
        <v>13</v>
      </c>
      <c r="Q55" s="110">
        <f>(ROUNDUP(Inputs!$K$19/2,0))</f>
        <v>13</v>
      </c>
      <c r="R55" s="110">
        <f>(ROUNDUP(Inputs!$K$19/2,0))</f>
        <v>13</v>
      </c>
      <c r="S55" s="110">
        <f>(ROUNDUP(Inputs!$K$19/2,0))</f>
        <v>13</v>
      </c>
      <c r="T55" s="110">
        <f>(ROUNDUP(Inputs!$K$19/2,0))</f>
        <v>13</v>
      </c>
      <c r="U55" s="110">
        <f>(ROUNDUP(Inputs!$K$19/2,0))</f>
        <v>13</v>
      </c>
      <c r="V55" s="110">
        <f>(ROUNDUP(Inputs!$K$19/2,0))</f>
        <v>13</v>
      </c>
      <c r="W55" s="110">
        <f>(ROUNDUP(Inputs!$K$19/2,0))</f>
        <v>13</v>
      </c>
      <c r="X55" s="110">
        <f>(ROUNDUP(Inputs!$K$19/2,0))</f>
        <v>13</v>
      </c>
      <c r="Y55" s="110">
        <f>(ROUNDUP(Inputs!$K$19/2,0))</f>
        <v>13</v>
      </c>
      <c r="Z55" s="110">
        <f>(ROUNDUP(Inputs!$K$19/2,0))</f>
        <v>13</v>
      </c>
      <c r="AA55" s="110">
        <f>(ROUNDUP(Inputs!$K$19/2,0))</f>
        <v>13</v>
      </c>
      <c r="AB55" s="110">
        <f>(ROUNDUP(Inputs!$K$19/2,0))</f>
        <v>13</v>
      </c>
      <c r="AC55" s="110">
        <f>(ROUNDUP(Inputs!$K$19/2,0))</f>
        <v>13</v>
      </c>
    </row>
    <row r="56" spans="1:30">
      <c r="A56" s="5" t="s">
        <v>73</v>
      </c>
      <c r="B56" s="6"/>
      <c r="C56" s="6"/>
      <c r="D56" s="6"/>
      <c r="E56" s="24">
        <f>(E53*E52)+(E55*E54)</f>
        <v>3705</v>
      </c>
      <c r="F56" s="24">
        <f t="shared" ref="F56:AC56" si="26">+F55*(F52+F54)</f>
        <v>3705</v>
      </c>
      <c r="G56" s="24">
        <f t="shared" si="26"/>
        <v>3705</v>
      </c>
      <c r="H56" s="24">
        <f t="shared" si="26"/>
        <v>3705</v>
      </c>
      <c r="I56" s="24">
        <f t="shared" si="26"/>
        <v>3705</v>
      </c>
      <c r="J56" s="24">
        <f t="shared" si="26"/>
        <v>3705</v>
      </c>
      <c r="K56" s="24">
        <f t="shared" si="26"/>
        <v>3705</v>
      </c>
      <c r="L56" s="24">
        <f t="shared" si="26"/>
        <v>3705</v>
      </c>
      <c r="M56" s="24">
        <f t="shared" si="26"/>
        <v>3705</v>
      </c>
      <c r="N56" s="24">
        <f t="shared" si="26"/>
        <v>3705</v>
      </c>
      <c r="O56" s="24">
        <f t="shared" si="26"/>
        <v>3705</v>
      </c>
      <c r="P56" s="24">
        <f t="shared" si="26"/>
        <v>3705</v>
      </c>
      <c r="Q56" s="24">
        <f t="shared" si="26"/>
        <v>3705</v>
      </c>
      <c r="R56" s="24">
        <f t="shared" si="26"/>
        <v>3705</v>
      </c>
      <c r="S56" s="24">
        <f t="shared" si="26"/>
        <v>3705</v>
      </c>
      <c r="T56" s="24">
        <f t="shared" si="26"/>
        <v>3705</v>
      </c>
      <c r="U56" s="24">
        <f t="shared" si="26"/>
        <v>3705</v>
      </c>
      <c r="V56" s="24">
        <f t="shared" si="26"/>
        <v>3705</v>
      </c>
      <c r="W56" s="24">
        <f t="shared" si="26"/>
        <v>3705</v>
      </c>
      <c r="X56" s="24">
        <f t="shared" si="26"/>
        <v>3705</v>
      </c>
      <c r="Y56" s="24">
        <f t="shared" si="26"/>
        <v>3705</v>
      </c>
      <c r="Z56" s="24">
        <f t="shared" si="26"/>
        <v>3705</v>
      </c>
      <c r="AA56" s="24">
        <f t="shared" si="26"/>
        <v>3705</v>
      </c>
      <c r="AB56" s="24">
        <f t="shared" si="26"/>
        <v>3705</v>
      </c>
      <c r="AC56" s="24">
        <f t="shared" si="26"/>
        <v>3705</v>
      </c>
    </row>
    <row r="57" spans="1:30" ht="15">
      <c r="A57" s="5" t="s">
        <v>74</v>
      </c>
      <c r="B57" s="6"/>
      <c r="C57" s="6"/>
      <c r="D57" s="6"/>
      <c r="E57" s="49">
        <f>Inputs!$D$24</f>
        <v>42.5</v>
      </c>
      <c r="F57" s="49">
        <f>Inputs!$D$24</f>
        <v>42.5</v>
      </c>
      <c r="G57" s="49">
        <f>Inputs!$D$24</f>
        <v>42.5</v>
      </c>
      <c r="H57" s="49">
        <f>Inputs!$D$24</f>
        <v>42.5</v>
      </c>
      <c r="I57" s="49">
        <f>Inputs!$D$24</f>
        <v>42.5</v>
      </c>
      <c r="J57" s="49">
        <f>Inputs!$D$24</f>
        <v>42.5</v>
      </c>
      <c r="K57" s="49">
        <f>Inputs!$D$24</f>
        <v>42.5</v>
      </c>
      <c r="L57" s="49">
        <f>Inputs!$D$24</f>
        <v>42.5</v>
      </c>
      <c r="M57" s="49">
        <f>Inputs!$D$24</f>
        <v>42.5</v>
      </c>
      <c r="N57" s="49">
        <f>Inputs!$D$24</f>
        <v>42.5</v>
      </c>
      <c r="O57" s="49">
        <f>Inputs!$D$24</f>
        <v>42.5</v>
      </c>
      <c r="P57" s="49">
        <f>Inputs!$D$24</f>
        <v>42.5</v>
      </c>
      <c r="Q57" s="49">
        <f>Inputs!$D$24</f>
        <v>42.5</v>
      </c>
      <c r="R57" s="49">
        <f>Inputs!$D$24</f>
        <v>42.5</v>
      </c>
      <c r="S57" s="49">
        <f>Inputs!$D$24</f>
        <v>42.5</v>
      </c>
      <c r="T57" s="49">
        <f>Inputs!$D$24</f>
        <v>42.5</v>
      </c>
      <c r="U57" s="49">
        <f>Inputs!$D$24</f>
        <v>42.5</v>
      </c>
      <c r="V57" s="49">
        <f>Inputs!$D$24</f>
        <v>42.5</v>
      </c>
      <c r="W57" s="49">
        <f>Inputs!$D$24</f>
        <v>42.5</v>
      </c>
      <c r="X57" s="49">
        <f>Inputs!$D$24</f>
        <v>42.5</v>
      </c>
      <c r="Y57" s="49">
        <f>Inputs!$D$24</f>
        <v>42.5</v>
      </c>
      <c r="Z57" s="49">
        <f>Inputs!$D$24</f>
        <v>42.5</v>
      </c>
      <c r="AA57" s="49">
        <f>Inputs!$D$24</f>
        <v>42.5</v>
      </c>
      <c r="AB57" s="49">
        <f>Inputs!$D$24</f>
        <v>42.5</v>
      </c>
      <c r="AC57" s="32">
        <f>Inputs!$D$24</f>
        <v>42.5</v>
      </c>
    </row>
    <row r="58" spans="1:30">
      <c r="A58" s="5" t="s">
        <v>75</v>
      </c>
      <c r="B58" s="6"/>
      <c r="C58" s="6"/>
      <c r="D58" s="6"/>
      <c r="E58" s="24">
        <f>+E56*E57</f>
        <v>157462.5</v>
      </c>
      <c r="F58" s="24">
        <f t="shared" ref="F58:U58" si="27">+F56*F57</f>
        <v>157462.5</v>
      </c>
      <c r="G58" s="24">
        <f t="shared" si="27"/>
        <v>157462.5</v>
      </c>
      <c r="H58" s="24">
        <f t="shared" si="27"/>
        <v>157462.5</v>
      </c>
      <c r="I58" s="24">
        <f t="shared" si="27"/>
        <v>157462.5</v>
      </c>
      <c r="J58" s="24">
        <f t="shared" si="27"/>
        <v>157462.5</v>
      </c>
      <c r="K58" s="24">
        <f t="shared" si="27"/>
        <v>157462.5</v>
      </c>
      <c r="L58" s="24">
        <f t="shared" si="27"/>
        <v>157462.5</v>
      </c>
      <c r="M58" s="24">
        <f t="shared" si="27"/>
        <v>157462.5</v>
      </c>
      <c r="N58" s="24">
        <f t="shared" si="27"/>
        <v>157462.5</v>
      </c>
      <c r="O58" s="24">
        <f t="shared" si="27"/>
        <v>157462.5</v>
      </c>
      <c r="P58" s="24">
        <f t="shared" si="27"/>
        <v>157462.5</v>
      </c>
      <c r="Q58" s="24">
        <f t="shared" si="27"/>
        <v>157462.5</v>
      </c>
      <c r="R58" s="24">
        <f t="shared" si="27"/>
        <v>157462.5</v>
      </c>
      <c r="S58" s="24">
        <f t="shared" si="27"/>
        <v>157462.5</v>
      </c>
      <c r="T58" s="24">
        <f t="shared" si="27"/>
        <v>157462.5</v>
      </c>
      <c r="U58" s="24">
        <f t="shared" si="27"/>
        <v>157462.5</v>
      </c>
      <c r="V58" s="24">
        <f t="shared" ref="V58:AC58" si="28">+V56*V57</f>
        <v>157462.5</v>
      </c>
      <c r="W58" s="24">
        <f t="shared" si="28"/>
        <v>157462.5</v>
      </c>
      <c r="X58" s="24">
        <f t="shared" si="28"/>
        <v>157462.5</v>
      </c>
      <c r="Y58" s="24">
        <f t="shared" si="28"/>
        <v>157462.5</v>
      </c>
      <c r="Z58" s="24">
        <f t="shared" si="28"/>
        <v>157462.5</v>
      </c>
      <c r="AA58" s="24">
        <f t="shared" si="28"/>
        <v>157462.5</v>
      </c>
      <c r="AB58" s="24">
        <f t="shared" si="28"/>
        <v>157462.5</v>
      </c>
      <c r="AC58" s="14">
        <f t="shared" si="28"/>
        <v>157462.5</v>
      </c>
    </row>
    <row r="59" spans="1:30">
      <c r="A59" s="5" t="s">
        <v>51</v>
      </c>
      <c r="B59" s="6"/>
      <c r="C59" s="6"/>
      <c r="D59" s="6"/>
      <c r="E59" s="41">
        <f>+Inputs!$K$24*Model!E4/12</f>
        <v>12</v>
      </c>
      <c r="F59" s="41">
        <f>+Inputs!$K$24*Model!F4/12</f>
        <v>12</v>
      </c>
      <c r="G59" s="41">
        <f>+Inputs!$K$24*Model!G4/12</f>
        <v>12</v>
      </c>
      <c r="H59" s="41">
        <f>+Inputs!$K$24*Model!H4/12</f>
        <v>12</v>
      </c>
      <c r="I59" s="41">
        <f>+Inputs!$K$24*Model!I4/12</f>
        <v>12</v>
      </c>
      <c r="J59" s="41">
        <f>+Inputs!$K$24*Model!J4/12</f>
        <v>12</v>
      </c>
      <c r="K59" s="41">
        <f>+Inputs!$K$24*Model!K4/12</f>
        <v>12</v>
      </c>
      <c r="L59" s="41">
        <f>+Inputs!$K$24*Model!L4/12</f>
        <v>12</v>
      </c>
      <c r="M59" s="41">
        <f>+Inputs!$K$24*Model!M4/12</f>
        <v>12</v>
      </c>
      <c r="N59" s="41">
        <f>+Inputs!$K$24*Model!N4/12</f>
        <v>12</v>
      </c>
      <c r="O59" s="41">
        <f>+Inputs!$K$24*Model!O4/12</f>
        <v>12</v>
      </c>
      <c r="P59" s="41">
        <f>+Inputs!$K$24*Model!P4/12</f>
        <v>12</v>
      </c>
      <c r="Q59" s="41">
        <f>+Inputs!$K$24*Model!Q4/12</f>
        <v>12</v>
      </c>
      <c r="R59" s="41">
        <f>+Inputs!$K$24*Model!R4/12</f>
        <v>12</v>
      </c>
      <c r="S59" s="41">
        <f>+Inputs!$K$24*Model!S4/12</f>
        <v>12</v>
      </c>
      <c r="T59" s="41">
        <f>+Inputs!$K$24*Model!T4/12</f>
        <v>12</v>
      </c>
      <c r="U59" s="41">
        <f>+Inputs!$K$24*Model!U4/12</f>
        <v>12</v>
      </c>
      <c r="V59" s="41">
        <f>+Inputs!$K$24*Model!V4/12</f>
        <v>12</v>
      </c>
      <c r="W59" s="41">
        <f>+Inputs!$K$24*Model!W4/12</f>
        <v>12</v>
      </c>
      <c r="X59" s="41">
        <f>+Inputs!$K$24*Model!X4/12</f>
        <v>12</v>
      </c>
      <c r="Y59" s="41">
        <f>+Inputs!$K$24*Model!Y4/12</f>
        <v>12</v>
      </c>
      <c r="Z59" s="41">
        <f>+Inputs!$K$24*Model!Z4/12</f>
        <v>12</v>
      </c>
      <c r="AA59" s="41">
        <f>+Inputs!$K$24*Model!AA4/12</f>
        <v>12</v>
      </c>
      <c r="AB59" s="41">
        <f>+Inputs!$K$24*Model!AB4/12</f>
        <v>12</v>
      </c>
      <c r="AC59" s="42">
        <f>+Inputs!$K$24*Model!AC4/12</f>
        <v>0</v>
      </c>
    </row>
    <row r="60" spans="1:30">
      <c r="A60" s="5" t="s">
        <v>76</v>
      </c>
      <c r="B60" s="6"/>
      <c r="C60" s="6"/>
      <c r="D60" s="6"/>
      <c r="E60" s="24">
        <f>+E59*E58</f>
        <v>1889550</v>
      </c>
      <c r="F60" s="24">
        <f t="shared" ref="F60:U60" si="29">+F59*F58</f>
        <v>1889550</v>
      </c>
      <c r="G60" s="24">
        <f t="shared" si="29"/>
        <v>1889550</v>
      </c>
      <c r="H60" s="24">
        <f t="shared" si="29"/>
        <v>1889550</v>
      </c>
      <c r="I60" s="24">
        <f t="shared" si="29"/>
        <v>1889550</v>
      </c>
      <c r="J60" s="24">
        <f t="shared" si="29"/>
        <v>1889550</v>
      </c>
      <c r="K60" s="24">
        <f t="shared" si="29"/>
        <v>1889550</v>
      </c>
      <c r="L60" s="24">
        <f t="shared" si="29"/>
        <v>1889550</v>
      </c>
      <c r="M60" s="24">
        <f t="shared" si="29"/>
        <v>1889550</v>
      </c>
      <c r="N60" s="24">
        <f t="shared" si="29"/>
        <v>1889550</v>
      </c>
      <c r="O60" s="24">
        <f t="shared" si="29"/>
        <v>1889550</v>
      </c>
      <c r="P60" s="24">
        <f t="shared" si="29"/>
        <v>1889550</v>
      </c>
      <c r="Q60" s="24">
        <f t="shared" si="29"/>
        <v>1889550</v>
      </c>
      <c r="R60" s="24">
        <f t="shared" si="29"/>
        <v>1889550</v>
      </c>
      <c r="S60" s="24">
        <f t="shared" si="29"/>
        <v>1889550</v>
      </c>
      <c r="T60" s="24">
        <f t="shared" si="29"/>
        <v>1889550</v>
      </c>
      <c r="U60" s="24">
        <f t="shared" si="29"/>
        <v>1889550</v>
      </c>
      <c r="V60" s="24">
        <f t="shared" ref="V60:AC60" si="30">+V59*V58</f>
        <v>1889550</v>
      </c>
      <c r="W60" s="24">
        <f t="shared" si="30"/>
        <v>1889550</v>
      </c>
      <c r="X60" s="24">
        <f t="shared" si="30"/>
        <v>1889550</v>
      </c>
      <c r="Y60" s="24">
        <f t="shared" si="30"/>
        <v>1889550</v>
      </c>
      <c r="Z60" s="24">
        <f t="shared" si="30"/>
        <v>1889550</v>
      </c>
      <c r="AA60" s="24">
        <f t="shared" si="30"/>
        <v>1889550</v>
      </c>
      <c r="AB60" s="24">
        <f t="shared" si="30"/>
        <v>1889550</v>
      </c>
      <c r="AC60" s="14">
        <f t="shared" si="30"/>
        <v>0</v>
      </c>
    </row>
    <row r="61" spans="1:30">
      <c r="A61" s="5" t="s">
        <v>77</v>
      </c>
      <c r="B61" s="6"/>
      <c r="C61" s="6"/>
      <c r="D61" s="6"/>
      <c r="E61" s="50">
        <f>-E21</f>
        <v>-783430.03046879999</v>
      </c>
      <c r="F61" s="50">
        <f t="shared" ref="F61:U61" si="31">-F21</f>
        <v>-783430.03046879999</v>
      </c>
      <c r="G61" s="50">
        <f t="shared" si="31"/>
        <v>-783430.03046879999</v>
      </c>
      <c r="H61" s="50">
        <f t="shared" si="31"/>
        <v>-783430.03046879999</v>
      </c>
      <c r="I61" s="50">
        <f t="shared" si="31"/>
        <v>-783430.03046879999</v>
      </c>
      <c r="J61" s="50">
        <f t="shared" si="31"/>
        <v>-783430.03046879999</v>
      </c>
      <c r="K61" s="50">
        <f t="shared" si="31"/>
        <v>-783430.03046879999</v>
      </c>
      <c r="L61" s="50">
        <f t="shared" si="31"/>
        <v>-783430.03046879999</v>
      </c>
      <c r="M61" s="50">
        <f t="shared" si="31"/>
        <v>-783430.03046879999</v>
      </c>
      <c r="N61" s="50">
        <f t="shared" si="31"/>
        <v>-783430.03046879999</v>
      </c>
      <c r="O61" s="50">
        <f t="shared" si="31"/>
        <v>-783430.03046879999</v>
      </c>
      <c r="P61" s="50">
        <f t="shared" si="31"/>
        <v>-783430.03046879999</v>
      </c>
      <c r="Q61" s="50">
        <f t="shared" si="31"/>
        <v>-783430.03046879999</v>
      </c>
      <c r="R61" s="50">
        <f t="shared" si="31"/>
        <v>-783430.03046879999</v>
      </c>
      <c r="S61" s="50">
        <f t="shared" si="31"/>
        <v>-783430.03046879999</v>
      </c>
      <c r="T61" s="50">
        <f t="shared" si="31"/>
        <v>-783430.03046879999</v>
      </c>
      <c r="U61" s="50">
        <f t="shared" si="31"/>
        <v>-783430.03046879999</v>
      </c>
      <c r="V61" s="50">
        <f t="shared" ref="V61:AC61" si="32">-V21</f>
        <v>-783430.03046879999</v>
      </c>
      <c r="W61" s="50">
        <f t="shared" si="32"/>
        <v>-783430.03046879999</v>
      </c>
      <c r="X61" s="50">
        <f t="shared" si="32"/>
        <v>-783430.03046879999</v>
      </c>
      <c r="Y61" s="50">
        <f t="shared" si="32"/>
        <v>-783430.03046879999</v>
      </c>
      <c r="Z61" s="50">
        <f t="shared" si="32"/>
        <v>-783430.03046879999</v>
      </c>
      <c r="AA61" s="50">
        <f t="shared" si="32"/>
        <v>-783430.03046879999</v>
      </c>
      <c r="AB61" s="50">
        <f t="shared" si="32"/>
        <v>-783430.03046879999</v>
      </c>
      <c r="AC61" s="51">
        <f t="shared" si="32"/>
        <v>0</v>
      </c>
    </row>
    <row r="62" spans="1:30" ht="15">
      <c r="A62" s="8" t="s">
        <v>78</v>
      </c>
      <c r="B62" s="6"/>
      <c r="C62" s="6"/>
      <c r="D62" s="6"/>
      <c r="E62" s="57">
        <f>-E29</f>
        <v>-783430.03046879999</v>
      </c>
      <c r="F62" s="57">
        <f t="shared" ref="F62:U62" si="33">-F29</f>
        <v>-783430.03046879999</v>
      </c>
      <c r="G62" s="57">
        <f t="shared" si="33"/>
        <v>-783430.03046879999</v>
      </c>
      <c r="H62" s="57">
        <f t="shared" si="33"/>
        <v>-783430.03046879999</v>
      </c>
      <c r="I62" s="57">
        <f t="shared" si="33"/>
        <v>-783430.03046879999</v>
      </c>
      <c r="J62" s="57">
        <f t="shared" si="33"/>
        <v>-783430.03046879999</v>
      </c>
      <c r="K62" s="57">
        <f t="shared" si="33"/>
        <v>-783430.03046879999</v>
      </c>
      <c r="L62" s="57">
        <f t="shared" si="33"/>
        <v>-783430.03046879999</v>
      </c>
      <c r="M62" s="57">
        <f t="shared" si="33"/>
        <v>-783430.03046879999</v>
      </c>
      <c r="N62" s="57">
        <f t="shared" si="33"/>
        <v>-783430.03046879999</v>
      </c>
      <c r="O62" s="57">
        <f t="shared" si="33"/>
        <v>-783430.03046879999</v>
      </c>
      <c r="P62" s="57">
        <f t="shared" si="33"/>
        <v>-783430.03046879999</v>
      </c>
      <c r="Q62" s="57">
        <f t="shared" si="33"/>
        <v>-783430.03046879999</v>
      </c>
      <c r="R62" s="57">
        <f t="shared" si="33"/>
        <v>-783430.03046879999</v>
      </c>
      <c r="S62" s="57">
        <f t="shared" si="33"/>
        <v>-783430.03046879999</v>
      </c>
      <c r="T62" s="57">
        <f t="shared" si="33"/>
        <v>-783430.03046879999</v>
      </c>
      <c r="U62" s="57">
        <f t="shared" si="33"/>
        <v>-783430.03046879999</v>
      </c>
      <c r="V62" s="57">
        <f t="shared" ref="V62:AC62" si="34">-V29</f>
        <v>-783430.03046879999</v>
      </c>
      <c r="W62" s="57">
        <f t="shared" si="34"/>
        <v>-783430.03046879999</v>
      </c>
      <c r="X62" s="57">
        <f t="shared" si="34"/>
        <v>-783430.03046879999</v>
      </c>
      <c r="Y62" s="57">
        <f t="shared" si="34"/>
        <v>-783430.03046879999</v>
      </c>
      <c r="Z62" s="57">
        <f t="shared" si="34"/>
        <v>-783430.03046879999</v>
      </c>
      <c r="AA62" s="57">
        <f t="shared" si="34"/>
        <v>-783430.03046879999</v>
      </c>
      <c r="AB62" s="57">
        <f t="shared" si="34"/>
        <v>-783430.03046879999</v>
      </c>
      <c r="AC62" s="58">
        <f t="shared" si="34"/>
        <v>0</v>
      </c>
    </row>
    <row r="63" spans="1:30">
      <c r="A63" s="5" t="s">
        <v>79</v>
      </c>
      <c r="B63" s="6"/>
      <c r="C63" s="6"/>
      <c r="D63" s="6"/>
      <c r="E63" s="50">
        <f>+E60+E61+E62</f>
        <v>322689.93906239991</v>
      </c>
      <c r="F63" s="50">
        <f t="shared" ref="F63:U63" si="35">+F60+F61+F62</f>
        <v>322689.93906239991</v>
      </c>
      <c r="G63" s="50">
        <f t="shared" si="35"/>
        <v>322689.93906239991</v>
      </c>
      <c r="H63" s="50">
        <f t="shared" si="35"/>
        <v>322689.93906239991</v>
      </c>
      <c r="I63" s="50">
        <f t="shared" si="35"/>
        <v>322689.93906239991</v>
      </c>
      <c r="J63" s="50">
        <f t="shared" si="35"/>
        <v>322689.93906239991</v>
      </c>
      <c r="K63" s="50">
        <f t="shared" si="35"/>
        <v>322689.93906239991</v>
      </c>
      <c r="L63" s="50">
        <f t="shared" si="35"/>
        <v>322689.93906239991</v>
      </c>
      <c r="M63" s="50">
        <f t="shared" si="35"/>
        <v>322689.93906239991</v>
      </c>
      <c r="N63" s="50">
        <f t="shared" si="35"/>
        <v>322689.93906239991</v>
      </c>
      <c r="O63" s="50">
        <f t="shared" si="35"/>
        <v>322689.93906239991</v>
      </c>
      <c r="P63" s="50">
        <f t="shared" si="35"/>
        <v>322689.93906239991</v>
      </c>
      <c r="Q63" s="50">
        <f t="shared" si="35"/>
        <v>322689.93906239991</v>
      </c>
      <c r="R63" s="50">
        <f t="shared" si="35"/>
        <v>322689.93906239991</v>
      </c>
      <c r="S63" s="50">
        <f t="shared" si="35"/>
        <v>322689.93906239991</v>
      </c>
      <c r="T63" s="50">
        <f t="shared" si="35"/>
        <v>322689.93906239991</v>
      </c>
      <c r="U63" s="50">
        <f t="shared" si="35"/>
        <v>322689.93906239991</v>
      </c>
      <c r="V63" s="50">
        <f t="shared" ref="V63:AC63" si="36">+V60+V61+V62</f>
        <v>322689.93906239991</v>
      </c>
      <c r="W63" s="50">
        <f t="shared" si="36"/>
        <v>322689.93906239991</v>
      </c>
      <c r="X63" s="50">
        <f t="shared" si="36"/>
        <v>322689.93906239991</v>
      </c>
      <c r="Y63" s="50">
        <f t="shared" si="36"/>
        <v>322689.93906239991</v>
      </c>
      <c r="Z63" s="50">
        <f t="shared" si="36"/>
        <v>322689.93906239991</v>
      </c>
      <c r="AA63" s="50">
        <f t="shared" si="36"/>
        <v>322689.93906239991</v>
      </c>
      <c r="AB63" s="50">
        <f t="shared" si="36"/>
        <v>322689.93906239991</v>
      </c>
      <c r="AC63" s="51">
        <f t="shared" si="36"/>
        <v>0</v>
      </c>
    </row>
    <row r="64" spans="1:30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7"/>
    </row>
    <row r="65" spans="1:41">
      <c r="A65" s="8" t="s">
        <v>80</v>
      </c>
      <c r="B65" s="6"/>
      <c r="C65" s="6"/>
      <c r="D65" s="6"/>
      <c r="E65" s="6">
        <f>+Inputs!$D$15</f>
        <v>40</v>
      </c>
      <c r="F65" s="6">
        <f>+Inputs!$D$15</f>
        <v>40</v>
      </c>
      <c r="G65" s="6">
        <f>+Inputs!$D$15</f>
        <v>40</v>
      </c>
      <c r="H65" s="6">
        <f>+Inputs!$D$15</f>
        <v>40</v>
      </c>
      <c r="I65" s="6">
        <f>+Inputs!$D$15</f>
        <v>40</v>
      </c>
      <c r="J65" s="6">
        <f>+Inputs!$D$15</f>
        <v>40</v>
      </c>
      <c r="K65" s="6">
        <f>+Inputs!$D$15</f>
        <v>40</v>
      </c>
      <c r="L65" s="6">
        <f>+Inputs!$D$15</f>
        <v>40</v>
      </c>
      <c r="M65" s="6">
        <f>+Inputs!$D$15</f>
        <v>40</v>
      </c>
      <c r="N65" s="6">
        <f>+Inputs!$D$15</f>
        <v>40</v>
      </c>
      <c r="O65" s="6">
        <f>+Inputs!$D$15</f>
        <v>40</v>
      </c>
      <c r="P65" s="6">
        <f>+Inputs!$D$15</f>
        <v>40</v>
      </c>
      <c r="Q65" s="6">
        <f>+Inputs!$D$15</f>
        <v>40</v>
      </c>
      <c r="R65" s="6">
        <f>+Inputs!$D$15</f>
        <v>40</v>
      </c>
      <c r="S65" s="6">
        <f>+Inputs!$D$15</f>
        <v>40</v>
      </c>
      <c r="T65" s="6">
        <f>+Inputs!$D$15</f>
        <v>40</v>
      </c>
      <c r="U65" s="6">
        <f>+Inputs!$D$15</f>
        <v>40</v>
      </c>
      <c r="V65" s="6">
        <f>+Inputs!$D$15</f>
        <v>40</v>
      </c>
      <c r="W65" s="6">
        <f>+Inputs!$D$15</f>
        <v>40</v>
      </c>
      <c r="X65" s="6">
        <f>+Inputs!$D$15</f>
        <v>40</v>
      </c>
      <c r="Y65" s="6">
        <f>+Inputs!$D$15</f>
        <v>40</v>
      </c>
      <c r="Z65" s="6">
        <f>+Inputs!$D$15</f>
        <v>40</v>
      </c>
      <c r="AA65" s="6">
        <f>+Inputs!$D$15</f>
        <v>40</v>
      </c>
      <c r="AB65" s="6">
        <f>+Inputs!$D$15</f>
        <v>40</v>
      </c>
      <c r="AC65" s="7">
        <f>+Inputs!$D$15</f>
        <v>40</v>
      </c>
    </row>
    <row r="66" spans="1:41">
      <c r="A66" s="8" t="s">
        <v>81</v>
      </c>
      <c r="B66" s="6"/>
      <c r="C66" s="6"/>
      <c r="D66" s="6"/>
      <c r="E66" s="39">
        <f>+Inputs!$K$6+Inputs!$K$7</f>
        <v>2</v>
      </c>
      <c r="F66" s="39">
        <f>+Inputs!$K$6+Inputs!$K$7</f>
        <v>2</v>
      </c>
      <c r="G66" s="39">
        <f>+Inputs!$K$6+Inputs!$K$7</f>
        <v>2</v>
      </c>
      <c r="H66" s="39">
        <f>+Inputs!$K$6+Inputs!$K$7</f>
        <v>2</v>
      </c>
      <c r="I66" s="39">
        <f>+Inputs!$K$6+Inputs!$K$7</f>
        <v>2</v>
      </c>
      <c r="J66" s="39">
        <f>+Inputs!$K$6+Inputs!$K$7</f>
        <v>2</v>
      </c>
      <c r="K66" s="39">
        <f>+Inputs!$K$6+Inputs!$K$7</f>
        <v>2</v>
      </c>
      <c r="L66" s="39">
        <f>+Inputs!$K$6+Inputs!$K$7</f>
        <v>2</v>
      </c>
      <c r="M66" s="39">
        <f>+Inputs!$K$6+Inputs!$K$7</f>
        <v>2</v>
      </c>
      <c r="N66" s="39">
        <f>+Inputs!$K$6+Inputs!$K$7</f>
        <v>2</v>
      </c>
      <c r="O66" s="39">
        <f>+Inputs!$K$6+Inputs!$K$7</f>
        <v>2</v>
      </c>
      <c r="P66" s="39">
        <f>+Inputs!$K$6+Inputs!$K$7</f>
        <v>2</v>
      </c>
      <c r="Q66" s="39">
        <f>+Inputs!$K$6+Inputs!$K$7</f>
        <v>2</v>
      </c>
      <c r="R66" s="39">
        <f>+Inputs!$K$6+Inputs!$K$7</f>
        <v>2</v>
      </c>
      <c r="S66" s="39">
        <f>+Inputs!$K$6+Inputs!$K$7</f>
        <v>2</v>
      </c>
      <c r="T66" s="39">
        <f>+Inputs!$K$6+Inputs!$K$7</f>
        <v>2</v>
      </c>
      <c r="U66" s="39">
        <f>+Inputs!$K$6+Inputs!$K$7</f>
        <v>2</v>
      </c>
      <c r="V66" s="39">
        <f>+Inputs!$K$6+Inputs!$K$7</f>
        <v>2</v>
      </c>
      <c r="W66" s="39">
        <f>+Inputs!$K$6+Inputs!$K$7</f>
        <v>2</v>
      </c>
      <c r="X66" s="39">
        <f>+Inputs!$K$6+Inputs!$K$7</f>
        <v>2</v>
      </c>
      <c r="Y66" s="39">
        <f>+Inputs!$K$6+Inputs!$K$7</f>
        <v>2</v>
      </c>
      <c r="Z66" s="39">
        <f>+Inputs!$K$6+Inputs!$K$7</f>
        <v>2</v>
      </c>
      <c r="AA66" s="39">
        <f>+Inputs!$K$6+Inputs!$K$7</f>
        <v>2</v>
      </c>
      <c r="AB66" s="39">
        <f>+Inputs!$K$6+Inputs!$K$7</f>
        <v>2</v>
      </c>
      <c r="AC66" s="40">
        <f>+Inputs!$K$6+Inputs!$K$7</f>
        <v>2</v>
      </c>
    </row>
    <row r="67" spans="1:41">
      <c r="A67" s="8" t="s">
        <v>82</v>
      </c>
      <c r="B67" s="6"/>
      <c r="C67" s="6"/>
      <c r="D67" s="6"/>
      <c r="E67" s="6">
        <f>+E65*E66</f>
        <v>80</v>
      </c>
      <c r="F67" s="6">
        <f t="shared" ref="F67:U67" si="37">+F65*F66</f>
        <v>80</v>
      </c>
      <c r="G67" s="6">
        <f t="shared" si="37"/>
        <v>80</v>
      </c>
      <c r="H67" s="6">
        <f t="shared" si="37"/>
        <v>80</v>
      </c>
      <c r="I67" s="6">
        <f t="shared" si="37"/>
        <v>80</v>
      </c>
      <c r="J67" s="6">
        <f t="shared" si="37"/>
        <v>80</v>
      </c>
      <c r="K67" s="6">
        <f t="shared" si="37"/>
        <v>80</v>
      </c>
      <c r="L67" s="6">
        <f t="shared" si="37"/>
        <v>80</v>
      </c>
      <c r="M67" s="6">
        <f t="shared" si="37"/>
        <v>80</v>
      </c>
      <c r="N67" s="6">
        <f t="shared" si="37"/>
        <v>80</v>
      </c>
      <c r="O67" s="6">
        <f t="shared" si="37"/>
        <v>80</v>
      </c>
      <c r="P67" s="6">
        <f t="shared" si="37"/>
        <v>80</v>
      </c>
      <c r="Q67" s="6">
        <f t="shared" si="37"/>
        <v>80</v>
      </c>
      <c r="R67" s="6">
        <f t="shared" si="37"/>
        <v>80</v>
      </c>
      <c r="S67" s="6">
        <f t="shared" si="37"/>
        <v>80</v>
      </c>
      <c r="T67" s="6">
        <f t="shared" si="37"/>
        <v>80</v>
      </c>
      <c r="U67" s="6">
        <f t="shared" si="37"/>
        <v>80</v>
      </c>
      <c r="V67" s="6">
        <f t="shared" ref="V67:AC67" si="38">+V65*V66</f>
        <v>80</v>
      </c>
      <c r="W67" s="6">
        <f t="shared" si="38"/>
        <v>80</v>
      </c>
      <c r="X67" s="6">
        <f t="shared" si="38"/>
        <v>80</v>
      </c>
      <c r="Y67" s="6">
        <f t="shared" si="38"/>
        <v>80</v>
      </c>
      <c r="Z67" s="6">
        <f t="shared" si="38"/>
        <v>80</v>
      </c>
      <c r="AA67" s="6">
        <f t="shared" si="38"/>
        <v>80</v>
      </c>
      <c r="AB67" s="6">
        <f t="shared" si="38"/>
        <v>80</v>
      </c>
      <c r="AC67" s="7">
        <f t="shared" si="38"/>
        <v>80</v>
      </c>
    </row>
    <row r="68" spans="1:41">
      <c r="A68" s="5" t="s">
        <v>74</v>
      </c>
      <c r="B68" s="6"/>
      <c r="C68" s="6"/>
      <c r="D68" s="6"/>
      <c r="E68" s="41">
        <f>+Inputs!$D$24</f>
        <v>42.5</v>
      </c>
      <c r="F68" s="41">
        <f>+Inputs!$D$24</f>
        <v>42.5</v>
      </c>
      <c r="G68" s="41">
        <f>+Inputs!$D$24</f>
        <v>42.5</v>
      </c>
      <c r="H68" s="41">
        <f>+Inputs!$D$24</f>
        <v>42.5</v>
      </c>
      <c r="I68" s="41">
        <f>+Inputs!$D$24</f>
        <v>42.5</v>
      </c>
      <c r="J68" s="41">
        <f>+Inputs!$D$24</f>
        <v>42.5</v>
      </c>
      <c r="K68" s="41">
        <f>+Inputs!$D$24</f>
        <v>42.5</v>
      </c>
      <c r="L68" s="41">
        <f>+Inputs!$D$24</f>
        <v>42.5</v>
      </c>
      <c r="M68" s="41">
        <f>+Inputs!$D$24</f>
        <v>42.5</v>
      </c>
      <c r="N68" s="41">
        <f>+Inputs!$D$24</f>
        <v>42.5</v>
      </c>
      <c r="O68" s="41">
        <f>+Inputs!$D$24</f>
        <v>42.5</v>
      </c>
      <c r="P68" s="41">
        <f>+Inputs!$D$24</f>
        <v>42.5</v>
      </c>
      <c r="Q68" s="41">
        <f>+Inputs!$D$24</f>
        <v>42.5</v>
      </c>
      <c r="R68" s="41">
        <f>+Inputs!$D$24</f>
        <v>42.5</v>
      </c>
      <c r="S68" s="41">
        <f>+Inputs!$D$24</f>
        <v>42.5</v>
      </c>
      <c r="T68" s="41">
        <f>+Inputs!$D$24</f>
        <v>42.5</v>
      </c>
      <c r="U68" s="41">
        <f>+Inputs!$D$24</f>
        <v>42.5</v>
      </c>
      <c r="V68" s="41">
        <f>+Inputs!$D$24</f>
        <v>42.5</v>
      </c>
      <c r="W68" s="41">
        <f>+Inputs!$D$24</f>
        <v>42.5</v>
      </c>
      <c r="X68" s="41">
        <f>+Inputs!$D$24</f>
        <v>42.5</v>
      </c>
      <c r="Y68" s="41">
        <f>+Inputs!$D$24</f>
        <v>42.5</v>
      </c>
      <c r="Z68" s="41">
        <f>+Inputs!$D$24</f>
        <v>42.5</v>
      </c>
      <c r="AA68" s="41">
        <f>+Inputs!$D$24</f>
        <v>42.5</v>
      </c>
      <c r="AB68" s="41">
        <f>+Inputs!$D$24</f>
        <v>42.5</v>
      </c>
      <c r="AC68" s="42">
        <f>+Inputs!$D$24</f>
        <v>42.5</v>
      </c>
    </row>
    <row r="69" spans="1:41">
      <c r="A69" s="5" t="s">
        <v>75</v>
      </c>
      <c r="B69" s="6"/>
      <c r="C69" s="6"/>
      <c r="D69" s="6"/>
      <c r="E69" s="24">
        <f>+E67*E68</f>
        <v>3400</v>
      </c>
      <c r="F69" s="24">
        <f t="shared" ref="F69:U69" si="39">+F67*F68</f>
        <v>3400</v>
      </c>
      <c r="G69" s="24">
        <f t="shared" si="39"/>
        <v>3400</v>
      </c>
      <c r="H69" s="24">
        <f t="shared" si="39"/>
        <v>3400</v>
      </c>
      <c r="I69" s="24">
        <f t="shared" si="39"/>
        <v>3400</v>
      </c>
      <c r="J69" s="24">
        <f t="shared" si="39"/>
        <v>3400</v>
      </c>
      <c r="K69" s="24">
        <f t="shared" si="39"/>
        <v>3400</v>
      </c>
      <c r="L69" s="24">
        <f t="shared" si="39"/>
        <v>3400</v>
      </c>
      <c r="M69" s="24">
        <f t="shared" si="39"/>
        <v>3400</v>
      </c>
      <c r="N69" s="24">
        <f t="shared" si="39"/>
        <v>3400</v>
      </c>
      <c r="O69" s="24">
        <f t="shared" si="39"/>
        <v>3400</v>
      </c>
      <c r="P69" s="24">
        <f t="shared" si="39"/>
        <v>3400</v>
      </c>
      <c r="Q69" s="24">
        <f t="shared" si="39"/>
        <v>3400</v>
      </c>
      <c r="R69" s="24">
        <f t="shared" si="39"/>
        <v>3400</v>
      </c>
      <c r="S69" s="24">
        <f t="shared" si="39"/>
        <v>3400</v>
      </c>
      <c r="T69" s="24">
        <f t="shared" si="39"/>
        <v>3400</v>
      </c>
      <c r="U69" s="24">
        <f t="shared" si="39"/>
        <v>3400</v>
      </c>
      <c r="V69" s="24">
        <f t="shared" ref="V69:AC69" si="40">+V67*V68</f>
        <v>3400</v>
      </c>
      <c r="W69" s="24">
        <f t="shared" si="40"/>
        <v>3400</v>
      </c>
      <c r="X69" s="24">
        <f t="shared" si="40"/>
        <v>3400</v>
      </c>
      <c r="Y69" s="24">
        <f t="shared" si="40"/>
        <v>3400</v>
      </c>
      <c r="Z69" s="24">
        <f t="shared" si="40"/>
        <v>3400</v>
      </c>
      <c r="AA69" s="24">
        <f t="shared" si="40"/>
        <v>3400</v>
      </c>
      <c r="AB69" s="24">
        <f t="shared" si="40"/>
        <v>3400</v>
      </c>
      <c r="AC69" s="14">
        <f t="shared" si="40"/>
        <v>3400</v>
      </c>
    </row>
    <row r="70" spans="1:41">
      <c r="A70" s="5" t="s">
        <v>51</v>
      </c>
      <c r="B70" s="6"/>
      <c r="C70" s="6"/>
      <c r="D70" s="6"/>
      <c r="E70" s="80">
        <f>+Inputs!$K$24*Model!E4/12</f>
        <v>12</v>
      </c>
      <c r="F70" s="41">
        <f>+Inputs!$K$24*Model!F4/12</f>
        <v>12</v>
      </c>
      <c r="G70" s="41">
        <f>+Inputs!$K$24*Model!G4/12</f>
        <v>12</v>
      </c>
      <c r="H70" s="41">
        <f>+Inputs!$K$24*Model!H4/12</f>
        <v>12</v>
      </c>
      <c r="I70" s="41">
        <f>+Inputs!$K$24*Model!I4/12</f>
        <v>12</v>
      </c>
      <c r="J70" s="41">
        <f>+Inputs!$K$24*Model!J4/12</f>
        <v>12</v>
      </c>
      <c r="K70" s="41">
        <f>+Inputs!$K$24*Model!K4/12</f>
        <v>12</v>
      </c>
      <c r="L70" s="41">
        <f>+Inputs!$K$24*Model!L4/12</f>
        <v>12</v>
      </c>
      <c r="M70" s="41">
        <f>+Inputs!$K$24*Model!M4/12</f>
        <v>12</v>
      </c>
      <c r="N70" s="41">
        <f>+Inputs!$K$24*Model!N4/12</f>
        <v>12</v>
      </c>
      <c r="O70" s="41">
        <f>+Inputs!$K$24*Model!O4/12</f>
        <v>12</v>
      </c>
      <c r="P70" s="41">
        <f>+Inputs!$K$24*Model!P4/12</f>
        <v>12</v>
      </c>
      <c r="Q70" s="41">
        <f>+Inputs!$K$24*Model!Q4/12</f>
        <v>12</v>
      </c>
      <c r="R70" s="41">
        <f>+Inputs!$K$24*Model!R4/12</f>
        <v>12</v>
      </c>
      <c r="S70" s="41">
        <f>+Inputs!$K$24*Model!S4/12</f>
        <v>12</v>
      </c>
      <c r="T70" s="41">
        <f>+Inputs!$K$24*Model!T4/12</f>
        <v>12</v>
      </c>
      <c r="U70" s="41">
        <f>+Inputs!$K$24*Model!U4/12</f>
        <v>12</v>
      </c>
      <c r="V70" s="41">
        <f>+Inputs!$K$24*Model!V4/12</f>
        <v>12</v>
      </c>
      <c r="W70" s="41">
        <f>+Inputs!$K$24*Model!W4/12</f>
        <v>12</v>
      </c>
      <c r="X70" s="41">
        <f>+Inputs!$K$24*Model!X4/12</f>
        <v>12</v>
      </c>
      <c r="Y70" s="41">
        <f>+Inputs!$K$24*Model!Y4/12</f>
        <v>12</v>
      </c>
      <c r="Z70" s="41">
        <f>+Inputs!$K$24*Model!Z4/12</f>
        <v>12</v>
      </c>
      <c r="AA70" s="41">
        <f>+Inputs!$K$24*Model!AA4/12</f>
        <v>12</v>
      </c>
      <c r="AB70" s="41">
        <f>+Inputs!$K$24*Model!AB4/12</f>
        <v>12</v>
      </c>
      <c r="AC70" s="42">
        <f>+Inputs!$K$24*Model!AC4/12</f>
        <v>0</v>
      </c>
    </row>
    <row r="71" spans="1:41">
      <c r="A71" s="5" t="s">
        <v>76</v>
      </c>
      <c r="B71" s="6"/>
      <c r="C71" s="6"/>
      <c r="D71" s="6"/>
      <c r="E71" s="24">
        <f>+E69*E70</f>
        <v>40800</v>
      </c>
      <c r="F71" s="24">
        <f t="shared" ref="F71:U71" si="41">+F69*F70</f>
        <v>40800</v>
      </c>
      <c r="G71" s="24">
        <f t="shared" si="41"/>
        <v>40800</v>
      </c>
      <c r="H71" s="24">
        <f t="shared" si="41"/>
        <v>40800</v>
      </c>
      <c r="I71" s="24">
        <f t="shared" si="41"/>
        <v>40800</v>
      </c>
      <c r="J71" s="24">
        <f t="shared" si="41"/>
        <v>40800</v>
      </c>
      <c r="K71" s="24">
        <f t="shared" si="41"/>
        <v>40800</v>
      </c>
      <c r="L71" s="24">
        <f t="shared" si="41"/>
        <v>40800</v>
      </c>
      <c r="M71" s="24">
        <f t="shared" si="41"/>
        <v>40800</v>
      </c>
      <c r="N71" s="24">
        <f t="shared" si="41"/>
        <v>40800</v>
      </c>
      <c r="O71" s="24">
        <f t="shared" si="41"/>
        <v>40800</v>
      </c>
      <c r="P71" s="24">
        <f t="shared" si="41"/>
        <v>40800</v>
      </c>
      <c r="Q71" s="24">
        <f t="shared" si="41"/>
        <v>40800</v>
      </c>
      <c r="R71" s="24">
        <f t="shared" si="41"/>
        <v>40800</v>
      </c>
      <c r="S71" s="24">
        <f t="shared" si="41"/>
        <v>40800</v>
      </c>
      <c r="T71" s="24">
        <f t="shared" si="41"/>
        <v>40800</v>
      </c>
      <c r="U71" s="24">
        <f t="shared" si="41"/>
        <v>40800</v>
      </c>
      <c r="V71" s="24">
        <f t="shared" ref="V71:AC71" si="42">+V69*V70</f>
        <v>40800</v>
      </c>
      <c r="W71" s="24">
        <f t="shared" si="42"/>
        <v>40800</v>
      </c>
      <c r="X71" s="24">
        <f t="shared" si="42"/>
        <v>40800</v>
      </c>
      <c r="Y71" s="24">
        <f t="shared" si="42"/>
        <v>40800</v>
      </c>
      <c r="Z71" s="24">
        <f t="shared" si="42"/>
        <v>40800</v>
      </c>
      <c r="AA71" s="24">
        <f t="shared" si="42"/>
        <v>40800</v>
      </c>
      <c r="AB71" s="24">
        <f t="shared" si="42"/>
        <v>40800</v>
      </c>
      <c r="AC71" s="14">
        <f t="shared" si="42"/>
        <v>0</v>
      </c>
    </row>
    <row r="72" spans="1:41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7"/>
    </row>
    <row r="73" spans="1:41">
      <c r="A73" s="5" t="s">
        <v>83</v>
      </c>
      <c r="B73" s="6"/>
      <c r="C73" s="6"/>
      <c r="D73" s="6"/>
      <c r="E73" s="50">
        <f>+E71+E63</f>
        <v>363489.93906239991</v>
      </c>
      <c r="F73" s="50">
        <f t="shared" ref="F73:U73" si="43">+F71+F63</f>
        <v>363489.93906239991</v>
      </c>
      <c r="G73" s="50">
        <f t="shared" si="43"/>
        <v>363489.93906239991</v>
      </c>
      <c r="H73" s="50">
        <f t="shared" si="43"/>
        <v>363489.93906239991</v>
      </c>
      <c r="I73" s="50">
        <f t="shared" si="43"/>
        <v>363489.93906239991</v>
      </c>
      <c r="J73" s="50">
        <f t="shared" si="43"/>
        <v>363489.93906239991</v>
      </c>
      <c r="K73" s="50">
        <f t="shared" si="43"/>
        <v>363489.93906239991</v>
      </c>
      <c r="L73" s="50">
        <f t="shared" si="43"/>
        <v>363489.93906239991</v>
      </c>
      <c r="M73" s="50">
        <f t="shared" si="43"/>
        <v>363489.93906239991</v>
      </c>
      <c r="N73" s="50">
        <f t="shared" si="43"/>
        <v>363489.93906239991</v>
      </c>
      <c r="O73" s="50">
        <f t="shared" si="43"/>
        <v>363489.93906239991</v>
      </c>
      <c r="P73" s="50">
        <f t="shared" si="43"/>
        <v>363489.93906239991</v>
      </c>
      <c r="Q73" s="50">
        <f t="shared" si="43"/>
        <v>363489.93906239991</v>
      </c>
      <c r="R73" s="50">
        <f t="shared" si="43"/>
        <v>363489.93906239991</v>
      </c>
      <c r="S73" s="50">
        <f t="shared" si="43"/>
        <v>363489.93906239991</v>
      </c>
      <c r="T73" s="50">
        <f t="shared" si="43"/>
        <v>363489.93906239991</v>
      </c>
      <c r="U73" s="50">
        <f t="shared" si="43"/>
        <v>363489.93906239991</v>
      </c>
      <c r="V73" s="50">
        <f t="shared" ref="V73:AC73" si="44">+V71+V63</f>
        <v>363489.93906239991</v>
      </c>
      <c r="W73" s="50">
        <f t="shared" si="44"/>
        <v>363489.93906239991</v>
      </c>
      <c r="X73" s="50">
        <f t="shared" si="44"/>
        <v>363489.93906239991</v>
      </c>
      <c r="Y73" s="50">
        <f t="shared" si="44"/>
        <v>363489.93906239991</v>
      </c>
      <c r="Z73" s="50">
        <f t="shared" si="44"/>
        <v>363489.93906239991</v>
      </c>
      <c r="AA73" s="50">
        <f t="shared" si="44"/>
        <v>363489.93906239991</v>
      </c>
      <c r="AB73" s="50">
        <f t="shared" si="44"/>
        <v>363489.93906239991</v>
      </c>
      <c r="AC73" s="51">
        <f t="shared" si="44"/>
        <v>0</v>
      </c>
    </row>
    <row r="74" spans="1:41" ht="15">
      <c r="A74" s="5" t="s">
        <v>84</v>
      </c>
      <c r="B74" s="6"/>
      <c r="C74" s="6"/>
      <c r="D74" s="6"/>
      <c r="E74" s="49">
        <f>+Inputs!$K$9*(1+Inputs!$J$10)^(Model!E5-Inputs!$I$9)/Inputs!$D$24</f>
        <v>3.5294117647058822</v>
      </c>
      <c r="F74" s="49">
        <f>+Inputs!$K$9*(1+Inputs!$J$10)^(Model!F5-Inputs!$I$9)/Inputs!$D$24</f>
        <v>3.5735294117647061</v>
      </c>
      <c r="G74" s="49">
        <f>+Inputs!$K$9*(1+Inputs!$J$10)^(Model!G5-Inputs!$I$9)/Inputs!$D$24</f>
        <v>3.6181985294117647</v>
      </c>
      <c r="H74" s="49">
        <f>+Inputs!$K$9*(1+Inputs!$J$10)^(Model!H5-Inputs!$I$9)/Inputs!$D$24</f>
        <v>3.6634260110294115</v>
      </c>
      <c r="I74" s="49">
        <f>+Inputs!$K$9*(1+Inputs!$J$10)^(Model!I5-Inputs!$I$9)/Inputs!$D$24</f>
        <v>3.7092188361672789</v>
      </c>
      <c r="J74" s="49">
        <f>+Inputs!$K$9*(1+Inputs!$J$10)^(Model!J5-Inputs!$I$9)/Inputs!$D$24</f>
        <v>3.7555840716193698</v>
      </c>
      <c r="K74" s="49">
        <f>+Inputs!$K$9*(1+Inputs!$J$10)^(Model!K5-Inputs!$I$9)/Inputs!$D$24</f>
        <v>3.8025288725146118</v>
      </c>
      <c r="L74" s="49">
        <f>+Inputs!$K$9*(1+Inputs!$J$10)^(Model!L5-Inputs!$I$9)/Inputs!$D$24</f>
        <v>3.8500604834210441</v>
      </c>
      <c r="M74" s="49">
        <f>+Inputs!$K$9*(1+Inputs!$J$10)^(Model!M5-Inputs!$I$9)/Inputs!$D$24</f>
        <v>3.8981862394638074</v>
      </c>
      <c r="N74" s="49">
        <f>+Inputs!$K$9*(1+Inputs!$J$10)^(Model!N5-Inputs!$I$9)/Inputs!$D$24</f>
        <v>3.9469135674571056</v>
      </c>
      <c r="O74" s="49">
        <f>+Inputs!$K$9*(1+Inputs!$J$10)^(Model!O5-Inputs!$I$9)/Inputs!$D$24</f>
        <v>3.9962499870503194</v>
      </c>
      <c r="P74" s="49">
        <f>+Inputs!$K$9*(1+Inputs!$J$10)^(Model!P5-Inputs!$I$9)/Inputs!$D$24</f>
        <v>4.0462031118884472</v>
      </c>
      <c r="Q74" s="49">
        <f>+Inputs!$K$9*(1+Inputs!$J$10)^(Model!Q5-Inputs!$I$9)/Inputs!$D$24</f>
        <v>4.0967806507870534</v>
      </c>
      <c r="R74" s="49">
        <f>+Inputs!$K$9*(1+Inputs!$J$10)^(Model!R5-Inputs!$I$9)/Inputs!$D$24</f>
        <v>4.1479904089218911</v>
      </c>
      <c r="S74" s="49">
        <f>+Inputs!$K$9*(1+Inputs!$J$10)^(Model!S5-Inputs!$I$9)/Inputs!$D$24</f>
        <v>4.199840289033415</v>
      </c>
      <c r="T74" s="49">
        <f>+Inputs!$K$9*(1+Inputs!$J$10)^(Model!T5-Inputs!$I$9)/Inputs!$D$24</f>
        <v>4.252338292646332</v>
      </c>
      <c r="U74" s="49">
        <f>+Inputs!$K$9*(1+Inputs!$J$10)^(Model!U5-Inputs!$I$9)/Inputs!$D$24</f>
        <v>4.3054925213044122</v>
      </c>
      <c r="V74" s="49">
        <f>+Inputs!$K$9*(1+Inputs!$J$10)^(Model!V5-Inputs!$I$9)/Inputs!$D$24</f>
        <v>4.3593111778207172</v>
      </c>
      <c r="W74" s="49">
        <f>+Inputs!$K$9*(1+Inputs!$J$10)^(Model!W5-Inputs!$I$9)/Inputs!$D$24</f>
        <v>4.4138025675434767</v>
      </c>
      <c r="X74" s="49">
        <f>+Inputs!$K$9*(1+Inputs!$J$10)^(Model!X5-Inputs!$I$9)/Inputs!$D$24</f>
        <v>4.4689750996377695</v>
      </c>
      <c r="Y74" s="49">
        <f>+Inputs!$K$9*(1+Inputs!$J$10)^(Model!Y5-Inputs!$I$9)/Inputs!$D$24</f>
        <v>4.5248372883832415</v>
      </c>
      <c r="Z74" s="49">
        <f>+Inputs!$K$9*(1+Inputs!$J$10)^(Model!Z5-Inputs!$I$9)/Inputs!$D$24</f>
        <v>4.581397754488032</v>
      </c>
      <c r="AA74" s="49">
        <f>+Inputs!$K$9*(1+Inputs!$J$10)^(Model!AA5-Inputs!$I$9)/Inputs!$D$24</f>
        <v>4.6386652264191319</v>
      </c>
      <c r="AB74" s="49">
        <f>+Inputs!$K$9*(1+Inputs!$J$10)^(Model!AB5-Inputs!$I$9)/Inputs!$D$24</f>
        <v>4.6966485417493704</v>
      </c>
      <c r="AC74" s="32">
        <f>+Inputs!$K$9*(1+Inputs!$J$10)^(Model!AC5-Inputs!$I$9)/Inputs!$D$24</f>
        <v>4.7553566485212384</v>
      </c>
    </row>
    <row r="75" spans="1:41">
      <c r="A75" s="9" t="s">
        <v>85</v>
      </c>
      <c r="B75" s="10"/>
      <c r="C75" s="10"/>
      <c r="D75" s="10"/>
      <c r="E75" s="45">
        <f>+E73*E74</f>
        <v>1282905.6672790584</v>
      </c>
      <c r="F75" s="45">
        <f t="shared" ref="F75:U75" si="45">+F73*F74</f>
        <v>1298941.9881200467</v>
      </c>
      <c r="G75" s="45">
        <f t="shared" si="45"/>
        <v>1315178.7629715472</v>
      </c>
      <c r="H75" s="45">
        <f t="shared" si="45"/>
        <v>1331618.4975086916</v>
      </c>
      <c r="I75" s="45">
        <f t="shared" si="45"/>
        <v>1348263.72872755</v>
      </c>
      <c r="J75" s="45">
        <f t="shared" si="45"/>
        <v>1365117.0253366444</v>
      </c>
      <c r="K75" s="45">
        <f t="shared" si="45"/>
        <v>1382180.9881533524</v>
      </c>
      <c r="L75" s="45">
        <f t="shared" si="45"/>
        <v>1399458.2505052693</v>
      </c>
      <c r="M75" s="45">
        <f t="shared" si="45"/>
        <v>1416951.4786365852</v>
      </c>
      <c r="N75" s="45">
        <f t="shared" si="45"/>
        <v>1434663.3721195427</v>
      </c>
      <c r="O75" s="45">
        <f t="shared" si="45"/>
        <v>1452596.6642710371</v>
      </c>
      <c r="P75" s="45">
        <f t="shared" si="45"/>
        <v>1470754.1225744246</v>
      </c>
      <c r="Q75" s="45">
        <f t="shared" si="45"/>
        <v>1489138.5491066051</v>
      </c>
      <c r="R75" s="45">
        <f t="shared" si="45"/>
        <v>1507752.7809704375</v>
      </c>
      <c r="S75" s="45">
        <f t="shared" si="45"/>
        <v>1526599.690732568</v>
      </c>
      <c r="T75" s="45">
        <f t="shared" si="45"/>
        <v>1545682.1868667249</v>
      </c>
      <c r="U75" s="45">
        <f t="shared" si="45"/>
        <v>1565003.2142025593</v>
      </c>
      <c r="V75" s="45">
        <f t="shared" ref="V75:AC75" si="46">+V73*V74</f>
        <v>1584565.7543800913</v>
      </c>
      <c r="W75" s="45">
        <f t="shared" si="46"/>
        <v>1604372.8263098425</v>
      </c>
      <c r="X75" s="45">
        <f t="shared" si="46"/>
        <v>1624427.4866387155</v>
      </c>
      <c r="Y75" s="45">
        <f t="shared" si="46"/>
        <v>1644732.8302216993</v>
      </c>
      <c r="Z75" s="45">
        <f t="shared" si="46"/>
        <v>1665291.9905994704</v>
      </c>
      <c r="AA75" s="45">
        <f t="shared" si="46"/>
        <v>1686108.1404819638</v>
      </c>
      <c r="AB75" s="45">
        <f t="shared" si="46"/>
        <v>1707184.4922379879</v>
      </c>
      <c r="AC75" s="15">
        <f t="shared" si="46"/>
        <v>0</v>
      </c>
    </row>
    <row r="77" spans="1:41">
      <c r="A77" s="59" t="s">
        <v>86</v>
      </c>
      <c r="B77" s="60"/>
      <c r="C77" s="60"/>
      <c r="D77" s="60"/>
      <c r="E77" s="61">
        <f t="shared" ref="E77:AC77" si="47">+E75+E50+E46+E42+E13+E9</f>
        <v>21300682.89157638</v>
      </c>
      <c r="F77" s="61">
        <f t="shared" si="47"/>
        <v>21534648.683697183</v>
      </c>
      <c r="G77" s="61">
        <f t="shared" si="47"/>
        <v>21775047.765898779</v>
      </c>
      <c r="H77" s="61">
        <f t="shared" si="47"/>
        <v>22022065.815837562</v>
      </c>
      <c r="I77" s="61">
        <f t="shared" si="47"/>
        <v>22275893.989986524</v>
      </c>
      <c r="J77" s="61">
        <f t="shared" si="47"/>
        <v>22536729.086855881</v>
      </c>
      <c r="K77" s="61">
        <f t="shared" si="47"/>
        <v>22804773.715095941</v>
      </c>
      <c r="L77" s="61">
        <f t="shared" si="47"/>
        <v>23080236.466628633</v>
      </c>
      <c r="M77" s="61">
        <f t="shared" si="47"/>
        <v>23363332.094958302</v>
      </c>
      <c r="N77" s="61">
        <f t="shared" si="47"/>
        <v>23654281.698817</v>
      </c>
      <c r="O77" s="61">
        <f t="shared" si="47"/>
        <v>23953312.911304079</v>
      </c>
      <c r="P77" s="61">
        <f t="shared" si="47"/>
        <v>24260660.094684802</v>
      </c>
      <c r="Q77" s="61">
        <f t="shared" si="47"/>
        <v>24576564.541017465</v>
      </c>
      <c r="R77" s="61">
        <f t="shared" si="47"/>
        <v>24901274.678783767</v>
      </c>
      <c r="S77" s="61">
        <f t="shared" si="47"/>
        <v>25235046.285702251</v>
      </c>
      <c r="T77" s="61">
        <f t="shared" si="47"/>
        <v>25578142.707910225</v>
      </c>
      <c r="U77" s="61">
        <f t="shared" si="47"/>
        <v>25930835.0857049</v>
      </c>
      <c r="V77" s="61">
        <f t="shared" si="47"/>
        <v>26293402.586040385</v>
      </c>
      <c r="W77" s="61">
        <f t="shared" si="47"/>
        <v>26666132.641982991</v>
      </c>
      <c r="X77" s="61">
        <f t="shared" si="47"/>
        <v>27049321.199333385</v>
      </c>
      <c r="Y77" s="61">
        <f t="shared" si="47"/>
        <v>27443272.970630433</v>
      </c>
      <c r="Z77" s="61">
        <f t="shared" si="47"/>
        <v>27848301.696757853</v>
      </c>
      <c r="AA77" s="61">
        <f t="shared" si="47"/>
        <v>28264730.416381706</v>
      </c>
      <c r="AB77" s="61">
        <f t="shared" si="47"/>
        <v>28692891.743453283</v>
      </c>
      <c r="AC77" s="62">
        <f t="shared" si="47"/>
        <v>0</v>
      </c>
    </row>
    <row r="78" spans="1:41">
      <c r="A78" s="63" t="s">
        <v>87</v>
      </c>
      <c r="B78" s="23"/>
      <c r="C78" s="23"/>
      <c r="D78" s="23"/>
      <c r="E78" s="64">
        <f>+E77/(Inputs!$D$21*E4/12)</f>
        <v>0.89566406911009921</v>
      </c>
      <c r="F78" s="64">
        <f>+F77/(Inputs!$D$21*F4/12)</f>
        <v>0.90550200503309997</v>
      </c>
      <c r="G78" s="64">
        <f>+G77/(Inputs!$D$21*G4/12)</f>
        <v>0.91561045185008738</v>
      </c>
      <c r="H78" s="64">
        <f>+H77/(Inputs!$D$21*H4/12)</f>
        <v>0.92599721704808524</v>
      </c>
      <c r="I78" s="64">
        <f>+I77/(Inputs!$D$21*I4/12)</f>
        <v>0.93667033849072934</v>
      </c>
      <c r="J78" s="64">
        <f>+J77/(Inputs!$D$21*J4/12)</f>
        <v>0.94763809128146836</v>
      </c>
      <c r="K78" s="64">
        <f>+K77/(Inputs!$D$21*K4/12)</f>
        <v>0.95890899483205538</v>
      </c>
      <c r="L78" s="64">
        <f>+L77/(Inputs!$D$21*L4/12)</f>
        <v>0.97049182014248736</v>
      </c>
      <c r="M78" s="64">
        <f>+M77/(Inputs!$D$21*M4/12)</f>
        <v>0.98239559729872594</v>
      </c>
      <c r="N78" s="64">
        <f>+N77/(Inputs!$D$21*N4/12)</f>
        <v>0.99462962319472714</v>
      </c>
      <c r="O78" s="64">
        <f>+O77/(Inputs!$D$21*O4/12)</f>
        <v>1.0072034694854965</v>
      </c>
      <c r="P78" s="64">
        <f>+P77/(Inputs!$D$21*P4/12)</f>
        <v>1.0201269907781012</v>
      </c>
      <c r="Q78" s="64">
        <f>+Q77/(Inputs!$D$21*Q4/12)</f>
        <v>1.03341033306776</v>
      </c>
      <c r="R78" s="64">
        <f>+R77/(Inputs!$D$21*R4/12)</f>
        <v>1.047063942426363</v>
      </c>
      <c r="S78" s="64">
        <f>+S77/(Inputs!$D$21*S4/12)</f>
        <v>1.0610985739509819</v>
      </c>
      <c r="T78" s="64">
        <f>+T77/(Inputs!$D$21*T4/12)</f>
        <v>1.0755253009801624</v>
      </c>
      <c r="U78" s="64">
        <f>+U77/(Inputs!$D$21*U4/12)</f>
        <v>1.0903555245860272</v>
      </c>
      <c r="V78" s="64">
        <f>+V77/(Inputs!$D$21*V4/12)</f>
        <v>1.1056009833504492</v>
      </c>
      <c r="W78" s="64">
        <f>+W77/(Inputs!$D$21*W4/12)</f>
        <v>1.121273763433815</v>
      </c>
      <c r="X78" s="64">
        <f>+X77/(Inputs!$D$21*X4/12)</f>
        <v>1.1373863089451428</v>
      </c>
      <c r="Y78" s="64">
        <f>+Y77/(Inputs!$D$21*Y4/12)</f>
        <v>1.1539514326225899</v>
      </c>
      <c r="Z78" s="64">
        <f>+Z77/(Inputs!$D$21*Z4/12)</f>
        <v>1.1709823268336494</v>
      </c>
      <c r="AA78" s="64">
        <f>+AA77/(Inputs!$D$21*AA4/12)</f>
        <v>1.1884925749046213</v>
      </c>
      <c r="AB78" s="64">
        <f>+AB77/(Inputs!$D$21*AB4/12)</f>
        <v>1.2064961627892221</v>
      </c>
      <c r="AC78" s="65" t="e">
        <f>+AC77/(Inputs!$D$21*AC4/12)</f>
        <v>#DIV/0!</v>
      </c>
      <c r="AD78" s="66"/>
      <c r="AE78" s="66"/>
      <c r="AF78" s="66"/>
      <c r="AG78" s="66"/>
      <c r="AH78" s="36"/>
      <c r="AI78" s="36"/>
      <c r="AJ78" s="36"/>
      <c r="AK78" s="36"/>
      <c r="AL78" s="36"/>
      <c r="AM78" s="36"/>
      <c r="AN78" s="36"/>
      <c r="AO78" s="36"/>
    </row>
    <row r="80" spans="1:41">
      <c r="A80" s="132" t="s">
        <v>88</v>
      </c>
      <c r="B80" s="133"/>
      <c r="C80" s="133"/>
      <c r="D80" s="134">
        <v>2002</v>
      </c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3"/>
      <c r="V80" s="3"/>
      <c r="W80" s="3"/>
      <c r="X80" s="3"/>
      <c r="Y80" s="3"/>
      <c r="Z80" s="3"/>
      <c r="AA80" s="3"/>
      <c r="AB80" s="3"/>
      <c r="AC80" s="4"/>
    </row>
    <row r="81" spans="1:30">
      <c r="A81" s="135" t="s">
        <v>89</v>
      </c>
      <c r="B81" s="136"/>
      <c r="C81" s="136"/>
      <c r="D81" s="137">
        <f>+E81*(1+Inputs!J11)^($D$80-Model!E$5)</f>
        <v>0</v>
      </c>
      <c r="E81" s="138">
        <f>+E9/(Inputs!$D$21*Model!E4/12)</f>
        <v>0</v>
      </c>
      <c r="F81" s="138">
        <f>+F9/(Inputs!$D$21*Model!F4/12)</f>
        <v>0</v>
      </c>
      <c r="G81" s="138">
        <f>+G9/(Inputs!$D$21*Model!G4/12)</f>
        <v>0</v>
      </c>
      <c r="H81" s="138">
        <f>+H9/(Inputs!$D$21*Model!H4/12)</f>
        <v>0</v>
      </c>
      <c r="I81" s="138">
        <f>+I9/(Inputs!$D$21*Model!I4/12)</f>
        <v>0</v>
      </c>
      <c r="J81" s="138">
        <f>+J9/(Inputs!$D$21*Model!J4/12)</f>
        <v>0</v>
      </c>
      <c r="K81" s="138">
        <f>+K9/(Inputs!$D$21*Model!K4/12)</f>
        <v>0</v>
      </c>
      <c r="L81" s="138">
        <f>+L9/(Inputs!$D$21*Model!L4/12)</f>
        <v>0</v>
      </c>
      <c r="M81" s="138">
        <f>+M9/(Inputs!$D$21*Model!M4/12)</f>
        <v>0</v>
      </c>
      <c r="N81" s="138">
        <f>+N9/(Inputs!$D$21*Model!N4/12)</f>
        <v>0</v>
      </c>
      <c r="O81" s="138">
        <f>+O9/(Inputs!$D$21*Model!O4/12)</f>
        <v>0</v>
      </c>
      <c r="P81" s="138">
        <f>+P9/(Inputs!$D$21*Model!P4/12)</f>
        <v>0</v>
      </c>
      <c r="Q81" s="138">
        <f>+Q9/(Inputs!$D$21*Model!Q4/12)</f>
        <v>0</v>
      </c>
      <c r="R81" s="138">
        <f>+R9/(Inputs!$D$21*Model!R4/12)</f>
        <v>0</v>
      </c>
      <c r="S81" s="138">
        <f>+S9/(Inputs!$D$21*Model!S4/12)</f>
        <v>0</v>
      </c>
      <c r="T81" s="138">
        <f>+T9/(Inputs!$D$21*Model!T4/12)</f>
        <v>0</v>
      </c>
      <c r="U81" s="68">
        <f>+U9/(Inputs!$D$21*Model!U4/12)</f>
        <v>0</v>
      </c>
      <c r="V81" s="68">
        <f>+V9/(Inputs!$D$21*Model!V4/12)</f>
        <v>0</v>
      </c>
      <c r="W81" s="68">
        <f>+W9/(Inputs!$D$21*Model!W4/12)</f>
        <v>0</v>
      </c>
      <c r="X81" s="68">
        <f>+X9/(Inputs!$D$21*Model!X4/12)</f>
        <v>0</v>
      </c>
      <c r="Y81" s="68">
        <f>+Y9/(Inputs!$D$21*Model!Y4/12)</f>
        <v>0</v>
      </c>
      <c r="Z81" s="68">
        <f>+Z9/(Inputs!$D$21*Model!Z4/12)</f>
        <v>0</v>
      </c>
      <c r="AA81" s="68">
        <f>+AA9/(Inputs!$D$21*Model!AA4/12)</f>
        <v>0</v>
      </c>
      <c r="AB81" s="68">
        <f>+AB9/(Inputs!$D$21*Model!AB4/12)</f>
        <v>0</v>
      </c>
      <c r="AC81" s="69" t="e">
        <f>+AC9/(Inputs!$D$21*Model!AC4/12)</f>
        <v>#DIV/0!</v>
      </c>
    </row>
    <row r="82" spans="1:30">
      <c r="A82" s="135" t="s">
        <v>90</v>
      </c>
      <c r="B82" s="136"/>
      <c r="C82" s="136"/>
      <c r="D82" s="137">
        <f>+E82*(1+Inputs!J12)^($D$80-Model!E$5)</f>
        <v>0.45412496846354383</v>
      </c>
      <c r="E82" s="138">
        <f>+E13/(Inputs!$D$21*Model!E$4/12)</f>
        <v>0.45412496846354383</v>
      </c>
      <c r="F82" s="138">
        <f>+F13/(Inputs!$D$21*Model!F$4/12)</f>
        <v>0.45412496846354383</v>
      </c>
      <c r="G82" s="138">
        <f>+G13/(Inputs!$D$21*Model!G$4/12)</f>
        <v>0.45412496846354383</v>
      </c>
      <c r="H82" s="138">
        <f>+H13/(Inputs!$D$21*Model!H$4/12)</f>
        <v>0.45412496846354383</v>
      </c>
      <c r="I82" s="138">
        <f>+I13/(Inputs!$D$21*Model!I$4/12)</f>
        <v>0.45412496846354383</v>
      </c>
      <c r="J82" s="138">
        <f>+J13/(Inputs!$D$21*Model!J$4/12)</f>
        <v>0.45412496846354383</v>
      </c>
      <c r="K82" s="138">
        <f>+K13/(Inputs!$D$21*Model!K$4/12)</f>
        <v>0.45412496846354383</v>
      </c>
      <c r="L82" s="138">
        <f>+L13/(Inputs!$D$21*Model!L$4/12)</f>
        <v>0.45412496846354383</v>
      </c>
      <c r="M82" s="138">
        <f>+M13/(Inputs!$D$21*Model!M$4/12)</f>
        <v>0.45412496846354383</v>
      </c>
      <c r="N82" s="138">
        <f>+N13/(Inputs!$D$21*Model!N$4/12)</f>
        <v>0.45412496846354383</v>
      </c>
      <c r="O82" s="138">
        <f>+O13/(Inputs!$D$21*Model!O$4/12)</f>
        <v>0.45412496846354383</v>
      </c>
      <c r="P82" s="138">
        <f>+P13/(Inputs!$D$21*Model!P$4/12)</f>
        <v>0.45412496846354383</v>
      </c>
      <c r="Q82" s="138">
        <f>+Q13/(Inputs!$D$21*Model!Q$4/12)</f>
        <v>0.45412496846354383</v>
      </c>
      <c r="R82" s="138">
        <f>+R13/(Inputs!$D$21*Model!R$4/12)</f>
        <v>0.45412496846354383</v>
      </c>
      <c r="S82" s="138">
        <f>+S13/(Inputs!$D$21*Model!S$4/12)</f>
        <v>0.45412496846354383</v>
      </c>
      <c r="T82" s="138">
        <f>+T13/(Inputs!$D$21*Model!T$4/12)</f>
        <v>0.45412496846354383</v>
      </c>
      <c r="U82" s="68">
        <f>+U13/(Inputs!$D$21*Model!U$4/12)</f>
        <v>0.45412496846354383</v>
      </c>
      <c r="V82" s="68">
        <f>+V13/(Inputs!$D$21*Model!V$4/12)</f>
        <v>0.45412496846354383</v>
      </c>
      <c r="W82" s="68">
        <f>+W13/(Inputs!$D$21*Model!W$4/12)</f>
        <v>0.45412496846354383</v>
      </c>
      <c r="X82" s="68">
        <f>+X13/(Inputs!$D$21*Model!X$4/12)</f>
        <v>0.45412496846354383</v>
      </c>
      <c r="Y82" s="68">
        <f>+Y13/(Inputs!$D$21*Model!Y$4/12)</f>
        <v>0.45412496846354383</v>
      </c>
      <c r="Z82" s="68">
        <f>+Z13/(Inputs!$D$21*Model!Z$4/12)</f>
        <v>0.45412496846354383</v>
      </c>
      <c r="AA82" s="68">
        <f>+AA13/(Inputs!$D$21*Model!AA$4/12)</f>
        <v>0.45412496846354383</v>
      </c>
      <c r="AB82" s="68">
        <f>+AB13/(Inputs!$D$21*Model!AB$4/12)</f>
        <v>0.45412496846354383</v>
      </c>
      <c r="AC82" s="69" t="e">
        <f>+AC13/(Inputs!$D$21*Model!AC$4/12)</f>
        <v>#DIV/0!</v>
      </c>
    </row>
    <row r="83" spans="1:30">
      <c r="A83" s="135" t="s">
        <v>91</v>
      </c>
      <c r="B83" s="136"/>
      <c r="C83" s="136"/>
      <c r="D83" s="137">
        <f>+E83*(1+Inputs!J10)^($D$80-Model!E$5)</f>
        <v>5.8637013465413508E-2</v>
      </c>
      <c r="E83" s="138">
        <f>+E42/(Inputs!$D$21*Model!E$4/12)</f>
        <v>5.8637013465413508E-2</v>
      </c>
      <c r="F83" s="138">
        <f>+F42/(Inputs!$D$21*Model!F$4/12)</f>
        <v>5.936997613373117E-2</v>
      </c>
      <c r="G83" s="138">
        <f>+G42/(Inputs!$D$21*Model!G$4/12)</f>
        <v>6.0112100835402811E-2</v>
      </c>
      <c r="H83" s="138">
        <f>+H42/(Inputs!$D$21*Model!H$4/12)</f>
        <v>6.0863502095845345E-2</v>
      </c>
      <c r="I83" s="138">
        <f>+I42/(Inputs!$D$21*Model!I$4/12)</f>
        <v>6.1624295872043412E-2</v>
      </c>
      <c r="J83" s="138">
        <f>+J42/(Inputs!$D$21*Model!J$4/12)</f>
        <v>6.2394599570443951E-2</v>
      </c>
      <c r="K83" s="138">
        <f>+K42/(Inputs!$D$21*Model!K$4/12)</f>
        <v>6.3174532065074493E-2</v>
      </c>
      <c r="L83" s="138">
        <f>+L42/(Inputs!$D$21*Model!L$4/12)</f>
        <v>6.3964213715887924E-2</v>
      </c>
      <c r="M83" s="138">
        <f>+M42/(Inputs!$D$21*Model!M$4/12)</f>
        <v>6.4763766387336524E-2</v>
      </c>
      <c r="N83" s="138">
        <f>+N42/(Inputs!$D$21*Model!N$4/12)</f>
        <v>6.5573313467178235E-2</v>
      </c>
      <c r="O83" s="138">
        <f>+O42/(Inputs!$D$21*Model!O$4/12)</f>
        <v>6.6392979885517969E-2</v>
      </c>
      <c r="P83" s="138">
        <f>+P42/(Inputs!$D$21*Model!P$4/12)</f>
        <v>6.7222892134086928E-2</v>
      </c>
      <c r="Q83" s="138">
        <f>+Q42/(Inputs!$D$21*Model!Q$4/12)</f>
        <v>6.8063178285763012E-2</v>
      </c>
      <c r="R83" s="138">
        <f>+R42/(Inputs!$D$21*Model!R$4/12)</f>
        <v>6.8913968014335039E-2</v>
      </c>
      <c r="S83" s="138">
        <f>+S42/(Inputs!$D$21*Model!S$4/12)</f>
        <v>6.9775392614514251E-2</v>
      </c>
      <c r="T83" s="138">
        <f>+T42/(Inputs!$D$21*Model!T$4/12)</f>
        <v>7.0647585022195661E-2</v>
      </c>
      <c r="U83" s="68">
        <f>+U42/(Inputs!$D$21*Model!U$4/12)</f>
        <v>7.1530679834973118E-2</v>
      </c>
      <c r="V83" s="68">
        <f>+V42/(Inputs!$D$21*Model!V$4/12)</f>
        <v>7.2424813332910273E-2</v>
      </c>
      <c r="W83" s="68">
        <f>+W42/(Inputs!$D$21*Model!W$4/12)</f>
        <v>7.3330123499571673E-2</v>
      </c>
      <c r="X83" s="68">
        <f>+X42/(Inputs!$D$21*Model!X$4/12)</f>
        <v>7.4246750043316309E-2</v>
      </c>
      <c r="Y83" s="68">
        <f>+Y42/(Inputs!$D$21*Model!Y$4/12)</f>
        <v>7.5174834418857764E-2</v>
      </c>
      <c r="Z83" s="68">
        <f>+Z42/(Inputs!$D$21*Model!Z$4/12)</f>
        <v>7.6114519849093482E-2</v>
      </c>
      <c r="AA83" s="68">
        <f>+AA42/(Inputs!$D$21*Model!AA$4/12)</f>
        <v>7.7065951347207146E-2</v>
      </c>
      <c r="AB83" s="68">
        <f>+AB42/(Inputs!$D$21*Model!AB$4/12)</f>
        <v>7.8029275739047221E-2</v>
      </c>
      <c r="AC83" s="69" t="e">
        <f>+AC42/(Inputs!$D$21*Model!AC$4/12)</f>
        <v>#DIV/0!</v>
      </c>
    </row>
    <row r="84" spans="1:30">
      <c r="A84" s="135" t="s">
        <v>10</v>
      </c>
      <c r="B84" s="136"/>
      <c r="C84" s="136"/>
      <c r="D84" s="137">
        <f>+E84*(1+Inputs!J8)^($D$80-Model!E$5)</f>
        <v>4.7935413337818519E-2</v>
      </c>
      <c r="E84" s="138">
        <f>+E46/(Inputs!$D$21*Model!E$4/12)</f>
        <v>4.7935413337818519E-2</v>
      </c>
      <c r="F84" s="138">
        <f>+F46/(Inputs!$D$21*Model!F$4/12)</f>
        <v>4.7935413337818519E-2</v>
      </c>
      <c r="G84" s="138">
        <f>+G46/(Inputs!$D$21*Model!G$4/12)</f>
        <v>4.7935413337818519E-2</v>
      </c>
      <c r="H84" s="138">
        <f>+H46/(Inputs!$D$21*Model!H$4/12)</f>
        <v>4.7935413337818519E-2</v>
      </c>
      <c r="I84" s="138">
        <f>+I46/(Inputs!$D$21*Model!I$4/12)</f>
        <v>4.7935413337818519E-2</v>
      </c>
      <c r="J84" s="138">
        <f>+J46/(Inputs!$D$21*Model!J$4/12)</f>
        <v>4.7935413337818519E-2</v>
      </c>
      <c r="K84" s="138">
        <f>+K46/(Inputs!$D$21*Model!K$4/12)</f>
        <v>4.7935413337818519E-2</v>
      </c>
      <c r="L84" s="138">
        <f>+L46/(Inputs!$D$21*Model!L$4/12)</f>
        <v>4.7935413337818519E-2</v>
      </c>
      <c r="M84" s="138">
        <f>+M46/(Inputs!$D$21*Model!M$4/12)</f>
        <v>4.7935413337818519E-2</v>
      </c>
      <c r="N84" s="138">
        <f>+N46/(Inputs!$D$21*Model!N$4/12)</f>
        <v>4.7935413337818519E-2</v>
      </c>
      <c r="O84" s="138">
        <f>+O46/(Inputs!$D$21*Model!O$4/12)</f>
        <v>4.7935413337818519E-2</v>
      </c>
      <c r="P84" s="138">
        <f>+P46/(Inputs!$D$21*Model!P$4/12)</f>
        <v>4.7935413337818519E-2</v>
      </c>
      <c r="Q84" s="138">
        <f>+Q46/(Inputs!$D$21*Model!Q$4/12)</f>
        <v>4.7935413337818519E-2</v>
      </c>
      <c r="R84" s="138">
        <f>+R46/(Inputs!$D$21*Model!R$4/12)</f>
        <v>4.7935413337818519E-2</v>
      </c>
      <c r="S84" s="138">
        <f>+S46/(Inputs!$D$21*Model!S$4/12)</f>
        <v>4.7935413337818519E-2</v>
      </c>
      <c r="T84" s="138">
        <f>+T46/(Inputs!$D$21*Model!T$4/12)</f>
        <v>4.7935413337818519E-2</v>
      </c>
      <c r="U84" s="68">
        <f>+U46/(Inputs!$D$21*Model!U$4/12)</f>
        <v>4.7935413337818519E-2</v>
      </c>
      <c r="V84" s="68">
        <f>+V46/(Inputs!$D$21*Model!V$4/12)</f>
        <v>4.7935413337818519E-2</v>
      </c>
      <c r="W84" s="68">
        <f>+W46/(Inputs!$D$21*Model!W$4/12)</f>
        <v>4.7935413337818519E-2</v>
      </c>
      <c r="X84" s="68">
        <f>+X46/(Inputs!$D$21*Model!X$4/12)</f>
        <v>4.7935413337818519E-2</v>
      </c>
      <c r="Y84" s="68">
        <f>+Y46/(Inputs!$D$21*Model!Y$4/12)</f>
        <v>4.7935413337818519E-2</v>
      </c>
      <c r="Z84" s="68">
        <f>+Z46/(Inputs!$D$21*Model!Z$4/12)</f>
        <v>4.7935413337818519E-2</v>
      </c>
      <c r="AA84" s="68">
        <f>+AA46/(Inputs!$D$21*Model!AA$4/12)</f>
        <v>4.7935413337818519E-2</v>
      </c>
      <c r="AB84" s="68">
        <f>+AB46/(Inputs!$D$21*Model!AB$4/12)</f>
        <v>4.7935413337818519E-2</v>
      </c>
      <c r="AC84" s="69" t="e">
        <f>+AC46/(Inputs!$D$21*Model!AC$4/12)</f>
        <v>#DIV/0!</v>
      </c>
    </row>
    <row r="85" spans="1:30">
      <c r="A85" s="135" t="s">
        <v>20</v>
      </c>
      <c r="B85" s="136"/>
      <c r="C85" s="136"/>
      <c r="D85" s="137">
        <f>+E85*(1+Inputs!J14)^($D$80-Model!E$5)</f>
        <v>0.28102227609380437</v>
      </c>
      <c r="E85" s="138">
        <f>+E50/(Inputs!$D$21*Model!E$4/12)</f>
        <v>0.28102227609380437</v>
      </c>
      <c r="F85" s="138">
        <f>+F50/(Inputs!$D$21*Model!F$4/12)</f>
        <v>0.2894529443766185</v>
      </c>
      <c r="G85" s="138">
        <f>+G50/(Inputs!$D$21*Model!G$4/12)</f>
        <v>0.29813653270791707</v>
      </c>
      <c r="H85" s="138">
        <f>+H50/(Inputs!$D$21*Model!H$4/12)</f>
        <v>0.30708062868915459</v>
      </c>
      <c r="I85" s="138">
        <f>+I50/(Inputs!$D$21*Model!I$4/12)</f>
        <v>0.31629304754982918</v>
      </c>
      <c r="J85" s="138">
        <f>+J50/(Inputs!$D$21*Model!J$4/12)</f>
        <v>0.32578183897632401</v>
      </c>
      <c r="K85" s="138">
        <f>+K50/(Inputs!$D$21*Model!K$4/12)</f>
        <v>0.3355552941456138</v>
      </c>
      <c r="L85" s="138">
        <f>+L50/(Inputs!$D$21*Model!L$4/12)</f>
        <v>0.34562195296998222</v>
      </c>
      <c r="M85" s="138">
        <f>+M50/(Inputs!$D$21*Model!M$4/12)</f>
        <v>0.35599061155908163</v>
      </c>
      <c r="N85" s="138">
        <f>+N50/(Inputs!$D$21*Model!N$4/12)</f>
        <v>0.36667032990585413</v>
      </c>
      <c r="O85" s="138">
        <f>+O50/(Inputs!$D$21*Model!O$4/12)</f>
        <v>0.37767043980302967</v>
      </c>
      <c r="P85" s="138">
        <f>+P50/(Inputs!$D$21*Model!P$4/12)</f>
        <v>0.38900055299712055</v>
      </c>
      <c r="Q85" s="138">
        <f>+Q50/(Inputs!$D$21*Model!Q$4/12)</f>
        <v>0.40067056958703412</v>
      </c>
      <c r="R85" s="138">
        <f>+R50/(Inputs!$D$21*Model!R$4/12)</f>
        <v>0.4126906866746452</v>
      </c>
      <c r="S85" s="138">
        <f>+S50/(Inputs!$D$21*Model!S$4/12)</f>
        <v>0.42507140727488457</v>
      </c>
      <c r="T85" s="138">
        <f>+T50/(Inputs!$D$21*Model!T$4/12)</f>
        <v>0.43782354949313118</v>
      </c>
      <c r="U85" s="68">
        <f>+U50/(Inputs!$D$21*Model!U$4/12)</f>
        <v>0.45095825597792499</v>
      </c>
      <c r="V85" s="68">
        <f>+V50/(Inputs!$D$21*Model!V$4/12)</f>
        <v>0.46448700365726275</v>
      </c>
      <c r="W85" s="68">
        <f>+W50/(Inputs!$D$21*Model!W$4/12)</f>
        <v>0.47842161376698067</v>
      </c>
      <c r="X85" s="68">
        <f>+X50/(Inputs!$D$21*Model!X$4/12)</f>
        <v>0.49277426217998999</v>
      </c>
      <c r="Y85" s="68">
        <f>+Y50/(Inputs!$D$21*Model!Y$4/12)</f>
        <v>0.50755749004538975</v>
      </c>
      <c r="Z85" s="68">
        <f>+Z50/(Inputs!$D$21*Model!Z$4/12)</f>
        <v>0.52278421474675141</v>
      </c>
      <c r="AA85" s="68">
        <f>+AA50/(Inputs!$D$21*Model!AA$4/12)</f>
        <v>0.53846774118915397</v>
      </c>
      <c r="AB85" s="68">
        <f>+AB50/(Inputs!$D$21*Model!AB$4/12)</f>
        <v>0.55462177342482866</v>
      </c>
      <c r="AC85" s="69" t="e">
        <f>+AC50/(Inputs!$D$21*Model!AC$4/12)</f>
        <v>#DIV/0!</v>
      </c>
    </row>
    <row r="86" spans="1:30" ht="16.8">
      <c r="A86" s="135" t="s">
        <v>92</v>
      </c>
      <c r="B86" s="136"/>
      <c r="C86" s="136"/>
      <c r="D86" s="139">
        <f>+E86*(1+Inputs!J9)^($D$80-Model!E$5)</f>
        <v>5.3944397749518896E-2</v>
      </c>
      <c r="E86" s="140">
        <f>+E75/(Inputs!$D$21*Model!E4/12)</f>
        <v>5.3944397749518896E-2</v>
      </c>
      <c r="F86" s="140">
        <f>+F75/(Inputs!$D$21*Model!F4/12)</f>
        <v>5.4618702721387885E-2</v>
      </c>
      <c r="G86" s="140">
        <f>+G75/(Inputs!$D$21*Model!G4/12)</f>
        <v>5.5301436505405234E-2</v>
      </c>
      <c r="H86" s="140">
        <f>+H75/(Inputs!$D$21*Model!H4/12)</f>
        <v>5.5992704461722803E-2</v>
      </c>
      <c r="I86" s="140">
        <f>+I75/(Inputs!$D$21*Model!I4/12)</f>
        <v>5.6692613267494321E-2</v>
      </c>
      <c r="J86" s="140">
        <f>+J75/(Inputs!$D$21*Model!J4/12)</f>
        <v>5.7401270933338001E-2</v>
      </c>
      <c r="K86" s="140">
        <f>+K75/(Inputs!$D$21*Model!K4/12)</f>
        <v>5.8118786820004729E-2</v>
      </c>
      <c r="L86" s="140">
        <f>+L75/(Inputs!$D$21*Model!L4/12)</f>
        <v>5.8845271655254786E-2</v>
      </c>
      <c r="M86" s="140">
        <f>+M75/(Inputs!$D$21*Model!M4/12)</f>
        <v>5.9580837550945467E-2</v>
      </c>
      <c r="N86" s="140">
        <f>+N75/(Inputs!$D$21*Model!N4/12)</f>
        <v>6.0325598020332299E-2</v>
      </c>
      <c r="O86" s="140">
        <f>+O75/(Inputs!$D$21*Model!O4/12)</f>
        <v>6.1079667995586458E-2</v>
      </c>
      <c r="P86" s="140">
        <f>+P75/(Inputs!$D$21*Model!P4/12)</f>
        <v>6.184316384553127E-2</v>
      </c>
      <c r="Q86" s="140">
        <f>+Q75/(Inputs!$D$21*Model!Q4/12)</f>
        <v>6.2616203393600411E-2</v>
      </c>
      <c r="R86" s="140">
        <f>+R75/(Inputs!$D$21*Model!R4/12)</f>
        <v>6.3398905936020419E-2</v>
      </c>
      <c r="S86" s="140">
        <f>+S75/(Inputs!$D$21*Model!S4/12)</f>
        <v>6.4191392260220678E-2</v>
      </c>
      <c r="T86" s="140">
        <f>+T75/(Inputs!$D$21*Model!T4/12)</f>
        <v>6.4993784663473414E-2</v>
      </c>
      <c r="U86" s="70">
        <f>+U75/(Inputs!$D$21*Model!U4/12)</f>
        <v>6.5806206971766854E-2</v>
      </c>
      <c r="V86" s="70">
        <f>+V75/(Inputs!$D$21*Model!V4/12)</f>
        <v>6.6628784558913939E-2</v>
      </c>
      <c r="W86" s="70">
        <f>+W75/(Inputs!$D$21*Model!W4/12)</f>
        <v>6.7461644365900367E-2</v>
      </c>
      <c r="X86" s="70">
        <f>+X75/(Inputs!$D$21*Model!X4/12)</f>
        <v>6.8304914920474122E-2</v>
      </c>
      <c r="Y86" s="70">
        <f>+Y75/(Inputs!$D$21*Model!Y4/12)</f>
        <v>6.9158726356980046E-2</v>
      </c>
      <c r="Z86" s="70">
        <f>+Z75/(Inputs!$D$21*Model!Z4/12)</f>
        <v>7.0023210436442287E-2</v>
      </c>
      <c r="AA86" s="70">
        <f>+AA75/(Inputs!$D$21*Model!AA4/12)</f>
        <v>7.089850056689781E-2</v>
      </c>
      <c r="AB86" s="70">
        <f>+AB75/(Inputs!$D$21*Model!AB4/12)</f>
        <v>7.1784731823984024E-2</v>
      </c>
      <c r="AC86" s="71" t="e">
        <f>+AC75/(Inputs!$D$21*Model!AC4/12)</f>
        <v>#DIV/0!</v>
      </c>
    </row>
    <row r="87" spans="1:30">
      <c r="A87" s="141" t="s">
        <v>93</v>
      </c>
      <c r="B87" s="142"/>
      <c r="C87" s="142"/>
      <c r="D87" s="143">
        <f>SUM(D81:D86)</f>
        <v>0.8956640691100991</v>
      </c>
      <c r="E87" s="144">
        <f>SUM(E81:E86)</f>
        <v>0.8956640691100991</v>
      </c>
      <c r="F87" s="144">
        <f t="shared" ref="F87:U87" si="48">SUM(F81:F86)</f>
        <v>0.90550200503309985</v>
      </c>
      <c r="G87" s="144">
        <f t="shared" si="48"/>
        <v>0.91561045185008738</v>
      </c>
      <c r="H87" s="144">
        <f t="shared" si="48"/>
        <v>0.92599721704808502</v>
      </c>
      <c r="I87" s="144">
        <f t="shared" si="48"/>
        <v>0.93667033849072912</v>
      </c>
      <c r="J87" s="144">
        <f t="shared" si="48"/>
        <v>0.94763809128146836</v>
      </c>
      <c r="K87" s="144">
        <f t="shared" si="48"/>
        <v>0.95890899483205527</v>
      </c>
      <c r="L87" s="144">
        <f t="shared" si="48"/>
        <v>0.97049182014248725</v>
      </c>
      <c r="M87" s="144">
        <f t="shared" si="48"/>
        <v>0.98239559729872594</v>
      </c>
      <c r="N87" s="144">
        <f t="shared" si="48"/>
        <v>0.99462962319472703</v>
      </c>
      <c r="O87" s="144">
        <f t="shared" si="48"/>
        <v>1.0072034694854965</v>
      </c>
      <c r="P87" s="144">
        <f t="shared" si="48"/>
        <v>1.020126990778101</v>
      </c>
      <c r="Q87" s="144">
        <f t="shared" si="48"/>
        <v>1.0334103330677598</v>
      </c>
      <c r="R87" s="144">
        <f t="shared" si="48"/>
        <v>1.047063942426363</v>
      </c>
      <c r="S87" s="144">
        <f t="shared" si="48"/>
        <v>1.0610985739509817</v>
      </c>
      <c r="T87" s="144">
        <f t="shared" si="48"/>
        <v>1.0755253009801626</v>
      </c>
      <c r="U87" s="72">
        <f t="shared" si="48"/>
        <v>1.0903555245860272</v>
      </c>
      <c r="V87" s="72">
        <f t="shared" ref="V87:AC87" si="49">SUM(V81:V86)</f>
        <v>1.1056009833504492</v>
      </c>
      <c r="W87" s="72">
        <f t="shared" si="49"/>
        <v>1.121273763433815</v>
      </c>
      <c r="X87" s="72">
        <f t="shared" si="49"/>
        <v>1.1373863089451428</v>
      </c>
      <c r="Y87" s="72">
        <f t="shared" si="49"/>
        <v>1.1539514326225897</v>
      </c>
      <c r="Z87" s="72">
        <f t="shared" si="49"/>
        <v>1.1709823268336494</v>
      </c>
      <c r="AA87" s="72">
        <f t="shared" si="49"/>
        <v>1.1884925749046213</v>
      </c>
      <c r="AB87" s="72">
        <f t="shared" si="49"/>
        <v>1.2064961627892221</v>
      </c>
      <c r="AC87" s="73" t="e">
        <f t="shared" si="49"/>
        <v>#DIV/0!</v>
      </c>
    </row>
    <row r="89" spans="1:30">
      <c r="E89" s="67">
        <f>+E87-E78</f>
        <v>0</v>
      </c>
      <c r="F89" s="67">
        <f t="shared" ref="F89:U89" si="50">+F87-F78</f>
        <v>0</v>
      </c>
      <c r="G89" s="67">
        <f t="shared" si="50"/>
        <v>0</v>
      </c>
      <c r="H89" s="67">
        <f t="shared" si="50"/>
        <v>0</v>
      </c>
      <c r="I89" s="67">
        <f t="shared" si="50"/>
        <v>0</v>
      </c>
      <c r="J89" s="67">
        <f t="shared" si="50"/>
        <v>0</v>
      </c>
      <c r="K89" s="67">
        <f t="shared" si="50"/>
        <v>0</v>
      </c>
      <c r="L89" s="67">
        <f t="shared" si="50"/>
        <v>0</v>
      </c>
      <c r="M89" s="67">
        <f t="shared" si="50"/>
        <v>0</v>
      </c>
      <c r="N89" s="67">
        <f t="shared" si="50"/>
        <v>0</v>
      </c>
      <c r="O89" s="67">
        <f t="shared" si="50"/>
        <v>0</v>
      </c>
      <c r="P89" s="67">
        <f t="shared" si="50"/>
        <v>0</v>
      </c>
      <c r="Q89" s="67">
        <f t="shared" si="50"/>
        <v>0</v>
      </c>
      <c r="R89" s="67">
        <f t="shared" si="50"/>
        <v>0</v>
      </c>
      <c r="S89" s="67">
        <f t="shared" si="50"/>
        <v>0</v>
      </c>
      <c r="T89" s="67">
        <f t="shared" si="50"/>
        <v>0</v>
      </c>
      <c r="U89" s="67">
        <f t="shared" si="50"/>
        <v>0</v>
      </c>
      <c r="V89" s="67">
        <f t="shared" ref="V89:AC89" si="51">+V87-V78</f>
        <v>0</v>
      </c>
      <c r="W89" s="67">
        <f t="shared" si="51"/>
        <v>0</v>
      </c>
      <c r="X89" s="67">
        <f t="shared" si="51"/>
        <v>0</v>
      </c>
      <c r="Y89" s="67">
        <f t="shared" si="51"/>
        <v>0</v>
      </c>
      <c r="Z89" s="67">
        <f t="shared" si="51"/>
        <v>0</v>
      </c>
      <c r="AA89" s="67">
        <f t="shared" si="51"/>
        <v>0</v>
      </c>
      <c r="AB89" s="67">
        <f t="shared" si="51"/>
        <v>0</v>
      </c>
      <c r="AC89" s="67" t="e">
        <f t="shared" si="51"/>
        <v>#DIV/0!</v>
      </c>
      <c r="AD89" s="25" t="e">
        <f>IF(SUM(E89:AC89)&lt;1,0,1)</f>
        <v>#DIV/0!</v>
      </c>
    </row>
    <row r="91" spans="1:30">
      <c r="D91" s="67"/>
    </row>
    <row r="92" spans="1:30">
      <c r="A92" s="79"/>
      <c r="D92" s="67"/>
    </row>
    <row r="94" spans="1:30" ht="15">
      <c r="D94" s="67"/>
      <c r="E94" s="82"/>
      <c r="F94" s="82"/>
    </row>
    <row r="95" spans="1:30">
      <c r="D95" s="67"/>
      <c r="E95" s="29"/>
      <c r="F95" s="29"/>
    </row>
    <row r="96" spans="1:30">
      <c r="E96" s="29"/>
      <c r="F96" s="29"/>
    </row>
    <row r="97" spans="4:6">
      <c r="D97" s="67"/>
      <c r="E97" s="29"/>
      <c r="F97" s="29"/>
    </row>
    <row r="98" spans="4:6">
      <c r="D98" s="67"/>
      <c r="E98" s="29"/>
      <c r="F98" s="29"/>
    </row>
    <row r="99" spans="4:6">
      <c r="E99" s="25"/>
      <c r="F99" s="25"/>
    </row>
  </sheetData>
  <printOptions horizontalCentered="1" gridLinesSet="0"/>
  <pageMargins left="0.75" right="0.75" top="1" bottom="1" header="0.5" footer="0.5"/>
  <pageSetup scale="41" orientation="landscape" horizontalDpi="4294967292" verticalDpi="300" r:id="rId1"/>
  <headerFooter alignWithMargins="0"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workbookViewId="0"/>
  </sheetViews>
  <sheetFormatPr defaultRowHeight="13.2"/>
  <cols>
    <col min="1" max="1" width="23" customWidth="1"/>
    <col min="2" max="2" width="15" customWidth="1"/>
    <col min="3" max="3" width="15.33203125" bestFit="1" customWidth="1"/>
    <col min="4" max="4" width="15.109375" bestFit="1" customWidth="1"/>
    <col min="5" max="5" width="13.44140625" customWidth="1"/>
    <col min="6" max="7" width="17.109375" bestFit="1" customWidth="1"/>
    <col min="8" max="8" width="16.44140625" bestFit="1" customWidth="1"/>
    <col min="9" max="9" width="17" bestFit="1" customWidth="1"/>
    <col min="10" max="10" width="16" bestFit="1" customWidth="1"/>
  </cols>
  <sheetData>
    <row r="1" spans="1:13" ht="15.6">
      <c r="A1" s="85" t="s">
        <v>96</v>
      </c>
    </row>
    <row r="2" spans="1:13" ht="15.6">
      <c r="A2" s="85" t="s">
        <v>97</v>
      </c>
    </row>
    <row r="3" spans="1:13" ht="13.8" thickBot="1"/>
    <row r="4" spans="1:13" ht="13.8" thickBot="1">
      <c r="B4" s="91" t="s">
        <v>99</v>
      </c>
    </row>
    <row r="5" spans="1:13" ht="14.4" thickBot="1">
      <c r="A5" s="87" t="s">
        <v>98</v>
      </c>
      <c r="B5" s="88" t="s">
        <v>108</v>
      </c>
      <c r="C5" s="89" t="s">
        <v>109</v>
      </c>
      <c r="D5" s="89" t="s">
        <v>110</v>
      </c>
      <c r="E5" s="89" t="s">
        <v>111</v>
      </c>
      <c r="F5" s="89" t="s">
        <v>112</v>
      </c>
      <c r="G5" s="89" t="s">
        <v>113</v>
      </c>
      <c r="H5" s="89" t="s">
        <v>114</v>
      </c>
      <c r="I5" s="89" t="s">
        <v>115</v>
      </c>
      <c r="J5" s="90" t="s">
        <v>116</v>
      </c>
      <c r="K5" s="79"/>
      <c r="L5" s="79"/>
      <c r="M5" s="79"/>
    </row>
    <row r="6" spans="1:13" ht="13.8">
      <c r="A6" s="86" t="s">
        <v>100</v>
      </c>
      <c r="B6" s="92">
        <v>4621</v>
      </c>
      <c r="C6" s="92">
        <v>4288</v>
      </c>
      <c r="D6" s="92">
        <v>4180</v>
      </c>
      <c r="E6" s="92">
        <v>5460</v>
      </c>
      <c r="F6" s="92">
        <v>4048</v>
      </c>
      <c r="G6" s="92">
        <v>2983</v>
      </c>
      <c r="H6" s="92">
        <v>5800</v>
      </c>
      <c r="I6" s="92">
        <v>3073</v>
      </c>
      <c r="J6" s="92">
        <v>3889</v>
      </c>
    </row>
    <row r="7" spans="1:13" ht="13.8">
      <c r="A7" s="86" t="s">
        <v>101</v>
      </c>
      <c r="B7" s="92">
        <v>5031</v>
      </c>
      <c r="C7" s="92">
        <v>4698</v>
      </c>
      <c r="D7" s="92">
        <v>4590</v>
      </c>
      <c r="E7" s="92">
        <v>5870</v>
      </c>
      <c r="F7" s="92">
        <v>4458</v>
      </c>
      <c r="G7" s="92">
        <v>3393</v>
      </c>
      <c r="H7" s="92">
        <v>6210</v>
      </c>
      <c r="I7" s="92">
        <v>3483</v>
      </c>
      <c r="J7" s="92">
        <v>4299</v>
      </c>
    </row>
    <row r="8" spans="1:13" ht="13.8">
      <c r="A8" s="86" t="s">
        <v>102</v>
      </c>
      <c r="B8" s="92">
        <v>5098</v>
      </c>
      <c r="C8" s="92">
        <v>4765</v>
      </c>
      <c r="D8" s="92">
        <v>4657</v>
      </c>
      <c r="E8" s="92">
        <v>5937</v>
      </c>
      <c r="F8" s="92">
        <v>4525</v>
      </c>
      <c r="G8" s="92">
        <v>3460</v>
      </c>
      <c r="H8" s="92">
        <v>6277</v>
      </c>
      <c r="I8" s="92">
        <v>3550</v>
      </c>
      <c r="J8" s="92">
        <v>4366</v>
      </c>
    </row>
    <row r="9" spans="1:13" ht="13.8">
      <c r="A9" s="86" t="s">
        <v>103</v>
      </c>
      <c r="B9" s="92">
        <v>3331</v>
      </c>
      <c r="C9" s="92">
        <v>3546</v>
      </c>
      <c r="D9" s="92">
        <v>3824</v>
      </c>
      <c r="E9" s="92">
        <v>3980</v>
      </c>
      <c r="F9" s="92">
        <v>4067</v>
      </c>
      <c r="G9" s="92">
        <v>4960</v>
      </c>
      <c r="H9" s="92">
        <v>4320</v>
      </c>
      <c r="I9" s="92">
        <v>4826</v>
      </c>
      <c r="J9" s="92">
        <v>4960</v>
      </c>
    </row>
    <row r="10" spans="1:13" ht="13.8">
      <c r="A10" s="86" t="s">
        <v>104</v>
      </c>
      <c r="B10" s="93">
        <v>373</v>
      </c>
      <c r="C10" s="93">
        <v>113</v>
      </c>
      <c r="D10" s="93">
        <v>343</v>
      </c>
      <c r="E10" s="92">
        <v>1212</v>
      </c>
      <c r="F10" s="93">
        <v>579</v>
      </c>
      <c r="G10" s="92">
        <v>1417</v>
      </c>
      <c r="H10" s="92">
        <v>1552</v>
      </c>
      <c r="I10" s="92">
        <v>1283</v>
      </c>
      <c r="J10" s="92">
        <v>1419</v>
      </c>
    </row>
    <row r="11" spans="1:13" ht="13.8">
      <c r="A11" s="86" t="s">
        <v>105</v>
      </c>
      <c r="B11" s="93">
        <v>718</v>
      </c>
      <c r="C11" s="93">
        <v>387</v>
      </c>
      <c r="D11" s="93">
        <v>349</v>
      </c>
      <c r="E11" s="92">
        <v>1557</v>
      </c>
      <c r="F11" s="93">
        <v>405</v>
      </c>
      <c r="G11" s="92">
        <v>1062</v>
      </c>
      <c r="H11" s="92">
        <v>1897</v>
      </c>
      <c r="I11" s="93">
        <v>928</v>
      </c>
      <c r="J11" s="92">
        <v>1070</v>
      </c>
    </row>
    <row r="12" spans="1:13" ht="13.8">
      <c r="A12" s="86" t="s">
        <v>106</v>
      </c>
      <c r="B12" s="92">
        <v>3922</v>
      </c>
      <c r="C12" s="92">
        <v>4132</v>
      </c>
      <c r="D12" s="92">
        <v>4410</v>
      </c>
      <c r="E12" s="92">
        <v>4571</v>
      </c>
      <c r="F12" s="92">
        <v>4653</v>
      </c>
      <c r="G12" s="92">
        <v>5546</v>
      </c>
      <c r="H12" s="92">
        <v>4911</v>
      </c>
      <c r="I12" s="92">
        <v>5412</v>
      </c>
      <c r="J12" s="92">
        <v>5546</v>
      </c>
    </row>
    <row r="13" spans="1:13" ht="13.8">
      <c r="A13" s="86" t="s">
        <v>107</v>
      </c>
      <c r="B13" s="92">
        <v>3366</v>
      </c>
      <c r="C13" s="92">
        <v>3648</v>
      </c>
      <c r="D13" s="92">
        <v>3926</v>
      </c>
      <c r="E13" s="92">
        <v>3714</v>
      </c>
      <c r="F13" s="92">
        <v>4169</v>
      </c>
      <c r="G13" s="92">
        <v>5062</v>
      </c>
      <c r="H13" s="92">
        <v>3985</v>
      </c>
      <c r="I13" s="92">
        <v>4928</v>
      </c>
      <c r="J13" s="92">
        <v>5062</v>
      </c>
    </row>
    <row r="14" spans="1:13" ht="16.2">
      <c r="A14" s="86" t="s">
        <v>121</v>
      </c>
      <c r="B14" s="92">
        <v>3450</v>
      </c>
      <c r="C14" s="92">
        <v>3732</v>
      </c>
      <c r="D14" s="92">
        <v>4010</v>
      </c>
      <c r="E14" s="92">
        <v>3798</v>
      </c>
      <c r="F14" s="92">
        <v>4253</v>
      </c>
      <c r="G14" s="92">
        <v>5146</v>
      </c>
      <c r="H14" s="92">
        <v>4069</v>
      </c>
      <c r="I14" s="92">
        <v>5012</v>
      </c>
      <c r="J14" s="92">
        <v>5146</v>
      </c>
    </row>
    <row r="16" spans="1:13">
      <c r="A16" t="s">
        <v>117</v>
      </c>
    </row>
    <row r="17" spans="1:2">
      <c r="A17" t="s">
        <v>118</v>
      </c>
    </row>
    <row r="18" spans="1:2">
      <c r="A18" t="s">
        <v>119</v>
      </c>
    </row>
    <row r="19" spans="1:2">
      <c r="A19" t="s">
        <v>120</v>
      </c>
    </row>
    <row r="20" spans="1:2" ht="15.6">
      <c r="A20" s="94" t="s">
        <v>122</v>
      </c>
    </row>
    <row r="22" spans="1:2">
      <c r="B22">
        <f>B6/(19.5*24)</f>
        <v>9.8739316239316235</v>
      </c>
    </row>
  </sheetData>
  <printOptions gridLines="1" gridLinesSet="0"/>
  <pageMargins left="0.75" right="0.75" top="1" bottom="1" header="0.5" footer="0.5"/>
  <pageSetup scale="81" orientation="landscape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workbookViewId="0"/>
  </sheetViews>
  <sheetFormatPr defaultRowHeight="13.2"/>
  <cols>
    <col min="1" max="1" width="23.6640625" customWidth="1"/>
    <col min="2" max="2" width="13.109375" bestFit="1" customWidth="1"/>
    <col min="3" max="3" width="16.33203125" bestFit="1" customWidth="1"/>
    <col min="4" max="5" width="16.109375" bestFit="1" customWidth="1"/>
    <col min="6" max="6" width="14.109375" bestFit="1" customWidth="1"/>
    <col min="7" max="7" width="18" bestFit="1" customWidth="1"/>
    <col min="8" max="8" width="17.77734375" bestFit="1" customWidth="1"/>
    <col min="9" max="9" width="17.109375" bestFit="1" customWidth="1"/>
    <col min="10" max="10" width="17.77734375" bestFit="1" customWidth="1"/>
    <col min="11" max="11" width="16" bestFit="1" customWidth="1"/>
  </cols>
  <sheetData>
    <row r="1" spans="1:11" ht="15.6">
      <c r="A1" s="85" t="s">
        <v>10</v>
      </c>
    </row>
    <row r="2" spans="1:11" ht="15.6">
      <c r="A2" s="85" t="s">
        <v>97</v>
      </c>
    </row>
    <row r="3" spans="1:11" ht="13.8" thickBot="1"/>
    <row r="4" spans="1:11" ht="13.8" thickBot="1">
      <c r="B4" s="98" t="s">
        <v>99</v>
      </c>
    </row>
    <row r="5" spans="1:11" ht="14.4" thickBot="1">
      <c r="A5" s="97" t="s">
        <v>98</v>
      </c>
      <c r="B5" s="99"/>
      <c r="C5" s="89" t="s">
        <v>108</v>
      </c>
      <c r="D5" s="89" t="s">
        <v>109</v>
      </c>
      <c r="E5" s="89" t="s">
        <v>110</v>
      </c>
      <c r="F5" s="89" t="s">
        <v>111</v>
      </c>
      <c r="G5" s="89" t="s">
        <v>112</v>
      </c>
      <c r="H5" s="89" t="s">
        <v>113</v>
      </c>
      <c r="I5" s="89" t="s">
        <v>114</v>
      </c>
      <c r="J5" s="89" t="s">
        <v>115</v>
      </c>
      <c r="K5" s="90" t="s">
        <v>116</v>
      </c>
    </row>
    <row r="6" spans="1:11" ht="14.4" thickBot="1">
      <c r="A6" s="95"/>
      <c r="B6" s="96"/>
      <c r="C6" s="100">
        <v>40000</v>
      </c>
      <c r="D6" s="101">
        <v>40000</v>
      </c>
      <c r="E6" s="101">
        <v>40000</v>
      </c>
      <c r="F6" s="101">
        <v>40000</v>
      </c>
      <c r="G6" s="101">
        <v>40000</v>
      </c>
      <c r="H6" s="101">
        <v>40000</v>
      </c>
      <c r="I6" s="101">
        <v>40000</v>
      </c>
      <c r="J6" s="101">
        <v>40000</v>
      </c>
      <c r="K6" s="102">
        <v>40000</v>
      </c>
    </row>
    <row r="7" spans="1:11" ht="13.8">
      <c r="A7" s="86" t="s">
        <v>100</v>
      </c>
      <c r="B7" s="103">
        <v>60000</v>
      </c>
      <c r="C7" s="92">
        <f>B7+$C$6</f>
        <v>100000</v>
      </c>
      <c r="D7" s="92">
        <f>B7+$D$6</f>
        <v>100000</v>
      </c>
      <c r="E7" s="92">
        <f>B7+$E$6</f>
        <v>100000</v>
      </c>
      <c r="F7" s="92">
        <f>B7+$F$6</f>
        <v>100000</v>
      </c>
      <c r="G7" s="92">
        <f>B7+$G$6</f>
        <v>100000</v>
      </c>
      <c r="H7" s="92">
        <f>B7+$H$6</f>
        <v>100000</v>
      </c>
      <c r="I7" s="92">
        <f>B7+$I$6</f>
        <v>100000</v>
      </c>
      <c r="J7" s="92">
        <f>B7+$J$6</f>
        <v>100000</v>
      </c>
      <c r="K7" s="92">
        <f>B7+$K$6</f>
        <v>100000</v>
      </c>
    </row>
    <row r="8" spans="1:11" ht="13.8">
      <c r="A8" s="86" t="s">
        <v>101</v>
      </c>
      <c r="B8" s="104">
        <v>56000</v>
      </c>
      <c r="C8" s="92">
        <f t="shared" ref="C8:C15" si="0">B8+$C$6</f>
        <v>96000</v>
      </c>
      <c r="D8" s="92">
        <f t="shared" ref="D8:D15" si="1">B8+$D$6</f>
        <v>96000</v>
      </c>
      <c r="E8" s="92">
        <f t="shared" ref="E8:E15" si="2">B8+$E$6</f>
        <v>96000</v>
      </c>
      <c r="F8" s="92">
        <f t="shared" ref="F8:F15" si="3">B8+$F$6</f>
        <v>96000</v>
      </c>
      <c r="G8" s="92">
        <f t="shared" ref="G8:G15" si="4">B8+$G$6</f>
        <v>96000</v>
      </c>
      <c r="H8" s="92">
        <f t="shared" ref="H8:H15" si="5">B8+$H$6</f>
        <v>96000</v>
      </c>
      <c r="I8" s="92">
        <f t="shared" ref="I8:I15" si="6">B8+$I$6</f>
        <v>96000</v>
      </c>
      <c r="J8" s="92">
        <f t="shared" ref="J8:J15" si="7">B8+$J$6</f>
        <v>96000</v>
      </c>
      <c r="K8" s="92">
        <f t="shared" ref="K8:K15" si="8">B8+$K$6</f>
        <v>96000</v>
      </c>
    </row>
    <row r="9" spans="1:11" ht="13.8">
      <c r="A9" s="86" t="s">
        <v>102</v>
      </c>
      <c r="B9" s="104">
        <v>51000</v>
      </c>
      <c r="C9" s="92">
        <f t="shared" si="0"/>
        <v>91000</v>
      </c>
      <c r="D9" s="92">
        <f t="shared" si="1"/>
        <v>91000</v>
      </c>
      <c r="E9" s="92">
        <f t="shared" si="2"/>
        <v>91000</v>
      </c>
      <c r="F9" s="92">
        <f t="shared" si="3"/>
        <v>91000</v>
      </c>
      <c r="G9" s="92">
        <f t="shared" si="4"/>
        <v>91000</v>
      </c>
      <c r="H9" s="92">
        <f t="shared" si="5"/>
        <v>91000</v>
      </c>
      <c r="I9" s="92">
        <f t="shared" si="6"/>
        <v>91000</v>
      </c>
      <c r="J9" s="92">
        <f t="shared" si="7"/>
        <v>91000</v>
      </c>
      <c r="K9" s="92">
        <f t="shared" si="8"/>
        <v>91000</v>
      </c>
    </row>
    <row r="10" spans="1:11" ht="13.8">
      <c r="A10" s="86" t="s">
        <v>103</v>
      </c>
      <c r="B10" s="104">
        <v>80000</v>
      </c>
      <c r="C10" s="92">
        <f t="shared" si="0"/>
        <v>120000</v>
      </c>
      <c r="D10" s="92">
        <f t="shared" si="1"/>
        <v>120000</v>
      </c>
      <c r="E10" s="92">
        <f t="shared" si="2"/>
        <v>120000</v>
      </c>
      <c r="F10" s="92">
        <f t="shared" si="3"/>
        <v>120000</v>
      </c>
      <c r="G10" s="92">
        <f t="shared" si="4"/>
        <v>120000</v>
      </c>
      <c r="H10" s="92">
        <f t="shared" si="5"/>
        <v>120000</v>
      </c>
      <c r="I10" s="92">
        <f t="shared" si="6"/>
        <v>120000</v>
      </c>
      <c r="J10" s="92">
        <f t="shared" si="7"/>
        <v>120000</v>
      </c>
      <c r="K10" s="92">
        <f t="shared" si="8"/>
        <v>120000</v>
      </c>
    </row>
    <row r="11" spans="1:11" ht="13.8">
      <c r="A11" s="86" t="s">
        <v>104</v>
      </c>
      <c r="B11" s="104">
        <v>150000</v>
      </c>
      <c r="C11" s="92">
        <f t="shared" si="0"/>
        <v>190000</v>
      </c>
      <c r="D11" s="92">
        <f t="shared" si="1"/>
        <v>190000</v>
      </c>
      <c r="E11" s="92">
        <f t="shared" si="2"/>
        <v>190000</v>
      </c>
      <c r="F11" s="92">
        <f t="shared" si="3"/>
        <v>190000</v>
      </c>
      <c r="G11" s="92">
        <f t="shared" si="4"/>
        <v>190000</v>
      </c>
      <c r="H11" s="92">
        <f t="shared" si="5"/>
        <v>190000</v>
      </c>
      <c r="I11" s="92">
        <f t="shared" si="6"/>
        <v>190000</v>
      </c>
      <c r="J11" s="92">
        <f t="shared" si="7"/>
        <v>190000</v>
      </c>
      <c r="K11" s="92">
        <f t="shared" si="8"/>
        <v>190000</v>
      </c>
    </row>
    <row r="12" spans="1:11" ht="13.8">
      <c r="A12" s="86" t="s">
        <v>105</v>
      </c>
      <c r="B12" s="104">
        <v>150000</v>
      </c>
      <c r="C12" s="92">
        <f t="shared" si="0"/>
        <v>190000</v>
      </c>
      <c r="D12" s="92">
        <f t="shared" si="1"/>
        <v>190000</v>
      </c>
      <c r="E12" s="92">
        <f t="shared" si="2"/>
        <v>190000</v>
      </c>
      <c r="F12" s="92">
        <f t="shared" si="3"/>
        <v>190000</v>
      </c>
      <c r="G12" s="92">
        <f t="shared" si="4"/>
        <v>190000</v>
      </c>
      <c r="H12" s="92">
        <f t="shared" si="5"/>
        <v>190000</v>
      </c>
      <c r="I12" s="92">
        <f t="shared" si="6"/>
        <v>190000</v>
      </c>
      <c r="J12" s="92">
        <f t="shared" si="7"/>
        <v>190000</v>
      </c>
      <c r="K12" s="92">
        <f t="shared" si="8"/>
        <v>190000</v>
      </c>
    </row>
    <row r="13" spans="1:11" ht="13.8">
      <c r="A13" s="86" t="s">
        <v>123</v>
      </c>
      <c r="B13" s="104">
        <v>80000</v>
      </c>
      <c r="C13" s="92">
        <f t="shared" si="0"/>
        <v>120000</v>
      </c>
      <c r="D13" s="92">
        <f t="shared" si="1"/>
        <v>120000</v>
      </c>
      <c r="E13" s="92">
        <f t="shared" si="2"/>
        <v>120000</v>
      </c>
      <c r="F13" s="92">
        <f t="shared" si="3"/>
        <v>120000</v>
      </c>
      <c r="G13" s="92">
        <f t="shared" si="4"/>
        <v>120000</v>
      </c>
      <c r="H13" s="92">
        <f t="shared" si="5"/>
        <v>120000</v>
      </c>
      <c r="I13" s="92">
        <f t="shared" si="6"/>
        <v>120000</v>
      </c>
      <c r="J13" s="92">
        <f t="shared" si="7"/>
        <v>120000</v>
      </c>
      <c r="K13" s="92">
        <f t="shared" si="8"/>
        <v>120000</v>
      </c>
    </row>
    <row r="14" spans="1:11" ht="13.8">
      <c r="A14" s="86" t="s">
        <v>124</v>
      </c>
      <c r="B14" s="104">
        <v>60000</v>
      </c>
      <c r="C14" s="92">
        <f t="shared" si="0"/>
        <v>100000</v>
      </c>
      <c r="D14" s="92">
        <f t="shared" si="1"/>
        <v>100000</v>
      </c>
      <c r="E14" s="92">
        <f t="shared" si="2"/>
        <v>100000</v>
      </c>
      <c r="F14" s="92">
        <f t="shared" si="3"/>
        <v>100000</v>
      </c>
      <c r="G14" s="92">
        <f t="shared" si="4"/>
        <v>100000</v>
      </c>
      <c r="H14" s="92">
        <f t="shared" si="5"/>
        <v>100000</v>
      </c>
      <c r="I14" s="92">
        <f t="shared" si="6"/>
        <v>100000</v>
      </c>
      <c r="J14" s="92">
        <f t="shared" si="7"/>
        <v>100000</v>
      </c>
      <c r="K14" s="92">
        <f t="shared" si="8"/>
        <v>100000</v>
      </c>
    </row>
    <row r="15" spans="1:11" ht="14.4" thickBot="1">
      <c r="A15" s="86" t="s">
        <v>125</v>
      </c>
      <c r="B15" s="105">
        <v>60000</v>
      </c>
      <c r="C15" s="92">
        <f t="shared" si="0"/>
        <v>100000</v>
      </c>
      <c r="D15" s="92">
        <f t="shared" si="1"/>
        <v>100000</v>
      </c>
      <c r="E15" s="92">
        <f t="shared" si="2"/>
        <v>100000</v>
      </c>
      <c r="F15" s="92">
        <f t="shared" si="3"/>
        <v>100000</v>
      </c>
      <c r="G15" s="92">
        <f t="shared" si="4"/>
        <v>100000</v>
      </c>
      <c r="H15" s="92">
        <f t="shared" si="5"/>
        <v>100000</v>
      </c>
      <c r="I15" s="92">
        <f t="shared" si="6"/>
        <v>100000</v>
      </c>
      <c r="J15" s="92">
        <f t="shared" si="7"/>
        <v>100000</v>
      </c>
      <c r="K15" s="92">
        <f t="shared" si="8"/>
        <v>100000</v>
      </c>
    </row>
    <row r="17" spans="1:1">
      <c r="A17" t="s">
        <v>126</v>
      </c>
    </row>
    <row r="18" spans="1:1">
      <c r="A18" t="s">
        <v>127</v>
      </c>
    </row>
  </sheetData>
  <printOptions gridLines="1" gridLinesSet="0"/>
  <pageMargins left="0.75" right="0.75" top="1" bottom="1" header="0.5" footer="0.5"/>
  <pageSetup scale="72"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Inputs</vt:lpstr>
      <vt:lpstr>Model</vt:lpstr>
      <vt:lpstr>Nautical Distances</vt:lpstr>
      <vt:lpstr>Port Charges</vt:lpstr>
      <vt:lpstr>assumptions</vt:lpstr>
      <vt:lpstr>cash</vt:lpstr>
      <vt:lpstr>Inputs!Print_Area</vt:lpstr>
      <vt:lpstr>Model!Print_Area</vt:lpstr>
      <vt:lpstr>'Nautical Distances'!Print_Area</vt:lpstr>
      <vt:lpstr>'Port Charges'!Print_Area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Makk, Andrew</dc:creator>
  <cp:lastModifiedBy>Havlíček Jan</cp:lastModifiedBy>
  <cp:lastPrinted>2000-05-02T14:54:46Z</cp:lastPrinted>
  <dcterms:created xsi:type="dcterms:W3CDTF">1998-06-25T20:06:45Z</dcterms:created>
  <dcterms:modified xsi:type="dcterms:W3CDTF">2023-09-10T11:42:55Z</dcterms:modified>
</cp:coreProperties>
</file>