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936" activeTab="2"/>
  </bookViews>
  <sheets>
    <sheet name="Assumptions" sheetId="10093" r:id="rId1"/>
    <sheet name="Forecast vs 00 budget" sheetId="10109" state="hidden" r:id="rId2"/>
    <sheet name="Budget vs budget" sheetId="10104" r:id="rId3"/>
    <sheet name="Forecast vs 01 budget" sheetId="10102" state="hidden" r:id="rId4"/>
    <sheet name="Allocation" sheetId="10110" r:id="rId5"/>
    <sheet name="2000 Budget" sheetId="10107" r:id="rId6"/>
    <sheet name="2000 Forecast" sheetId="10106" state="hidden" r:id="rId7"/>
    <sheet name="Research" sheetId="10098" r:id="rId8"/>
    <sheet name="Upload" sheetId="10092" state="hidden" r:id="rId9"/>
  </sheets>
  <externalReferences>
    <externalReference r:id="rId10"/>
    <externalReference r:id="rId11"/>
  </externalReferences>
  <definedNames>
    <definedName name="coa">#REF!</definedName>
    <definedName name="_xlnm.Print_Area" localSheetId="3">'Forecast vs 01 budget'!$B$1:$F$88</definedName>
    <definedName name="_xlnm.Print_Area" localSheetId="7">Research!$A$1:$P$86</definedName>
    <definedName name="_xlnm.Print_Titles" localSheetId="7">Research!$1:$8</definedName>
    <definedName name="SAPFuncF4Help" localSheetId="7">Main.SAPF4Help()</definedName>
    <definedName name="SAPFuncF4Help">Main.SAPF4Help()</definedName>
  </definedNames>
  <calcPr calcId="0" fullCalcOnLoad="1"/>
</workbook>
</file>

<file path=xl/calcChain.xml><?xml version="1.0" encoding="utf-8"?>
<calcChain xmlns="http://schemas.openxmlformats.org/spreadsheetml/2006/main">
  <c r="C19" i="10107" l="1"/>
  <c r="D19" i="10107"/>
  <c r="E19" i="10107"/>
  <c r="F19" i="10107"/>
  <c r="G19" i="10107"/>
  <c r="H19" i="10107"/>
  <c r="I19" i="10107"/>
  <c r="J19" i="10107"/>
  <c r="K19" i="10107"/>
  <c r="L19" i="10107"/>
  <c r="M19" i="10107"/>
  <c r="N19" i="10107"/>
  <c r="C21" i="10107"/>
  <c r="D21" i="10107"/>
  <c r="E21" i="10107"/>
  <c r="F21" i="10107"/>
  <c r="G21" i="10107"/>
  <c r="H21" i="10107"/>
  <c r="I21" i="10107"/>
  <c r="J21" i="10107"/>
  <c r="K21" i="10107"/>
  <c r="L21" i="10107"/>
  <c r="M21" i="10107"/>
  <c r="N21" i="10107"/>
  <c r="O26" i="10107"/>
  <c r="O27" i="10107"/>
  <c r="C28" i="10107"/>
  <c r="D28" i="10107"/>
  <c r="E28" i="10107"/>
  <c r="F28" i="10107"/>
  <c r="G28" i="10107"/>
  <c r="H28" i="10107"/>
  <c r="I28" i="10107"/>
  <c r="J28" i="10107"/>
  <c r="K28" i="10107"/>
  <c r="L28" i="10107"/>
  <c r="M28" i="10107"/>
  <c r="N28" i="10107"/>
  <c r="O28" i="10107"/>
  <c r="O29" i="10107"/>
  <c r="O30" i="10107"/>
  <c r="C31" i="10107"/>
  <c r="D31" i="10107"/>
  <c r="E31" i="10107"/>
  <c r="F31" i="10107"/>
  <c r="G31" i="10107"/>
  <c r="H31" i="10107"/>
  <c r="I31" i="10107"/>
  <c r="J31" i="10107"/>
  <c r="K31" i="10107"/>
  <c r="L31" i="10107"/>
  <c r="M31" i="10107"/>
  <c r="N31" i="10107"/>
  <c r="O31" i="10107"/>
  <c r="O32" i="10107"/>
  <c r="C33" i="10107"/>
  <c r="D33" i="10107"/>
  <c r="E33" i="10107"/>
  <c r="F33" i="10107"/>
  <c r="G33" i="10107"/>
  <c r="H33" i="10107"/>
  <c r="I33" i="10107"/>
  <c r="J33" i="10107"/>
  <c r="K33" i="10107"/>
  <c r="L33" i="10107"/>
  <c r="M33" i="10107"/>
  <c r="N33" i="10107"/>
  <c r="O33" i="10107"/>
  <c r="O34" i="10107"/>
  <c r="O35" i="10107"/>
  <c r="O36" i="10107"/>
  <c r="O37" i="10107"/>
  <c r="O38" i="10107"/>
  <c r="C39" i="10107"/>
  <c r="D39" i="10107"/>
  <c r="E39" i="10107"/>
  <c r="F39" i="10107"/>
  <c r="G39" i="10107"/>
  <c r="H39" i="10107"/>
  <c r="I39" i="10107"/>
  <c r="J39" i="10107"/>
  <c r="K39" i="10107"/>
  <c r="L39" i="10107"/>
  <c r="M39" i="10107"/>
  <c r="N39" i="10107"/>
  <c r="O39" i="10107"/>
  <c r="O40" i="10107"/>
  <c r="O41" i="10107"/>
  <c r="O42" i="10107"/>
  <c r="O43" i="10107"/>
  <c r="O44" i="10107"/>
  <c r="O45" i="10107"/>
  <c r="C46" i="10107"/>
  <c r="D46" i="10107"/>
  <c r="E46" i="10107"/>
  <c r="F46" i="10107"/>
  <c r="G46" i="10107"/>
  <c r="H46" i="10107"/>
  <c r="I46" i="10107"/>
  <c r="J46" i="10107"/>
  <c r="K46" i="10107"/>
  <c r="L46" i="10107"/>
  <c r="M46" i="10107"/>
  <c r="N46" i="10107"/>
  <c r="O46" i="10107"/>
  <c r="O47" i="10107"/>
  <c r="O48" i="10107"/>
  <c r="O49" i="10107"/>
  <c r="C50" i="10107"/>
  <c r="D50" i="10107"/>
  <c r="E50" i="10107"/>
  <c r="F50" i="10107"/>
  <c r="G50" i="10107"/>
  <c r="H50" i="10107"/>
  <c r="I50" i="10107"/>
  <c r="J50" i="10107"/>
  <c r="K50" i="10107"/>
  <c r="L50" i="10107"/>
  <c r="M50" i="10107"/>
  <c r="N50" i="10107"/>
  <c r="O50" i="10107"/>
  <c r="O51" i="10107"/>
  <c r="O52" i="10107"/>
  <c r="O53" i="10107"/>
  <c r="O54" i="10107"/>
  <c r="O55" i="10107"/>
  <c r="O56" i="10107"/>
  <c r="O57" i="10107"/>
  <c r="C58" i="10107"/>
  <c r="D58" i="10107"/>
  <c r="E58" i="10107"/>
  <c r="F58" i="10107"/>
  <c r="G58" i="10107"/>
  <c r="H58" i="10107"/>
  <c r="I58" i="10107"/>
  <c r="J58" i="10107"/>
  <c r="K58" i="10107"/>
  <c r="L58" i="10107"/>
  <c r="M58" i="10107"/>
  <c r="N58" i="10107"/>
  <c r="O58" i="10107"/>
  <c r="O59" i="10107"/>
  <c r="O60" i="10107"/>
  <c r="O61" i="10107"/>
  <c r="O62" i="10107"/>
  <c r="C63" i="10107"/>
  <c r="D63" i="10107"/>
  <c r="E63" i="10107"/>
  <c r="F63" i="10107"/>
  <c r="G63" i="10107"/>
  <c r="H63" i="10107"/>
  <c r="I63" i="10107"/>
  <c r="J63" i="10107"/>
  <c r="K63" i="10107"/>
  <c r="L63" i="10107"/>
  <c r="M63" i="10107"/>
  <c r="N63" i="10107"/>
  <c r="O63" i="10107"/>
  <c r="O64" i="10107"/>
  <c r="O65" i="10107"/>
  <c r="O66" i="10107"/>
  <c r="C67" i="10107"/>
  <c r="D67" i="10107"/>
  <c r="E67" i="10107"/>
  <c r="F67" i="10107"/>
  <c r="G67" i="10107"/>
  <c r="H67" i="10107"/>
  <c r="I67" i="10107"/>
  <c r="J67" i="10107"/>
  <c r="K67" i="10107"/>
  <c r="L67" i="10107"/>
  <c r="M67" i="10107"/>
  <c r="N67" i="10107"/>
  <c r="O67" i="10107"/>
  <c r="O68" i="10107"/>
  <c r="O69" i="10107"/>
  <c r="O70" i="10107"/>
  <c r="O71" i="10107"/>
  <c r="O72" i="10107"/>
  <c r="C73" i="10107"/>
  <c r="D73" i="10107"/>
  <c r="E73" i="10107"/>
  <c r="F73" i="10107"/>
  <c r="G73" i="10107"/>
  <c r="H73" i="10107"/>
  <c r="I73" i="10107"/>
  <c r="J73" i="10107"/>
  <c r="K73" i="10107"/>
  <c r="L73" i="10107"/>
  <c r="M73" i="10107"/>
  <c r="N73" i="10107"/>
  <c r="O73" i="10107"/>
  <c r="O74" i="10107"/>
  <c r="O75" i="10107"/>
  <c r="C76" i="10107"/>
  <c r="D76" i="10107"/>
  <c r="E76" i="10107"/>
  <c r="F76" i="10107"/>
  <c r="G76" i="10107"/>
  <c r="H76" i="10107"/>
  <c r="I76" i="10107"/>
  <c r="J76" i="10107"/>
  <c r="K76" i="10107"/>
  <c r="L76" i="10107"/>
  <c r="M76" i="10107"/>
  <c r="N76" i="10107"/>
  <c r="O76" i="10107"/>
  <c r="C77" i="10107"/>
  <c r="D77" i="10107"/>
  <c r="E77" i="10107"/>
  <c r="F77" i="10107"/>
  <c r="G77" i="10107"/>
  <c r="H77" i="10107"/>
  <c r="I77" i="10107"/>
  <c r="J77" i="10107"/>
  <c r="K77" i="10107"/>
  <c r="L77" i="10107"/>
  <c r="M77" i="10107"/>
  <c r="N77" i="10107"/>
  <c r="O77" i="10107"/>
  <c r="A80" i="10107"/>
  <c r="D1" i="10106"/>
  <c r="D19" i="10106"/>
  <c r="E19" i="10106"/>
  <c r="F19" i="10106"/>
  <c r="G19" i="10106"/>
  <c r="H19" i="10106"/>
  <c r="I19" i="10106"/>
  <c r="J19" i="10106"/>
  <c r="K19" i="10106"/>
  <c r="L19" i="10106"/>
  <c r="M19" i="10106"/>
  <c r="N19" i="10106"/>
  <c r="O19" i="10106"/>
  <c r="D21" i="10106"/>
  <c r="E21" i="10106"/>
  <c r="F21" i="10106"/>
  <c r="G21" i="10106"/>
  <c r="H21" i="10106"/>
  <c r="I21" i="10106"/>
  <c r="J21" i="10106"/>
  <c r="K21" i="10106"/>
  <c r="L21" i="10106"/>
  <c r="M21" i="10106"/>
  <c r="N21" i="10106"/>
  <c r="O21" i="10106"/>
  <c r="P25" i="10106"/>
  <c r="P26" i="10106"/>
  <c r="P27" i="10106"/>
  <c r="D28" i="10106"/>
  <c r="E28" i="10106"/>
  <c r="F28" i="10106"/>
  <c r="G28" i="10106"/>
  <c r="H28" i="10106"/>
  <c r="I28" i="10106"/>
  <c r="J28" i="10106"/>
  <c r="K28" i="10106"/>
  <c r="L28" i="10106"/>
  <c r="M28" i="10106"/>
  <c r="N28" i="10106"/>
  <c r="O28" i="10106"/>
  <c r="P28" i="10106"/>
  <c r="P29" i="10106"/>
  <c r="P30" i="10106"/>
  <c r="P31" i="10106"/>
  <c r="P32" i="10106"/>
  <c r="P33" i="10106"/>
  <c r="D34" i="10106"/>
  <c r="E34" i="10106"/>
  <c r="F34" i="10106"/>
  <c r="G34" i="10106"/>
  <c r="H34" i="10106"/>
  <c r="I34" i="10106"/>
  <c r="J34" i="10106"/>
  <c r="K34" i="10106"/>
  <c r="L34" i="10106"/>
  <c r="M34" i="10106"/>
  <c r="N34" i="10106"/>
  <c r="O34" i="10106"/>
  <c r="P34" i="10106"/>
  <c r="P35" i="10106"/>
  <c r="P36" i="10106"/>
  <c r="P37" i="10106"/>
  <c r="P38" i="10106"/>
  <c r="P39" i="10106"/>
  <c r="P40" i="10106"/>
  <c r="P41" i="10106"/>
  <c r="P42" i="10106"/>
  <c r="D43" i="10106"/>
  <c r="E43" i="10106"/>
  <c r="F43" i="10106"/>
  <c r="G43" i="10106"/>
  <c r="H43" i="10106"/>
  <c r="I43" i="10106"/>
  <c r="J43" i="10106"/>
  <c r="K43" i="10106"/>
  <c r="L43" i="10106"/>
  <c r="M43" i="10106"/>
  <c r="N43" i="10106"/>
  <c r="O43" i="10106"/>
  <c r="P43" i="10106"/>
  <c r="D44" i="10106"/>
  <c r="E44" i="10106"/>
  <c r="F44" i="10106"/>
  <c r="G44" i="10106"/>
  <c r="H44" i="10106"/>
  <c r="I44" i="10106"/>
  <c r="L44" i="10106"/>
  <c r="M44" i="10106"/>
  <c r="N44" i="10106"/>
  <c r="O44" i="10106"/>
  <c r="P44" i="10106"/>
  <c r="D45" i="10106"/>
  <c r="E45" i="10106"/>
  <c r="F45" i="10106"/>
  <c r="G45" i="10106"/>
  <c r="H45" i="10106"/>
  <c r="I45" i="10106"/>
  <c r="L45" i="10106"/>
  <c r="M45" i="10106"/>
  <c r="N45" i="10106"/>
  <c r="O45" i="10106"/>
  <c r="P45" i="10106"/>
  <c r="D46" i="10106"/>
  <c r="E46" i="10106"/>
  <c r="F46" i="10106"/>
  <c r="G46" i="10106"/>
  <c r="H46" i="10106"/>
  <c r="I46" i="10106"/>
  <c r="L46" i="10106"/>
  <c r="M46" i="10106"/>
  <c r="N46" i="10106"/>
  <c r="O46" i="10106"/>
  <c r="P46" i="10106"/>
  <c r="D47" i="10106"/>
  <c r="E47" i="10106"/>
  <c r="F47" i="10106"/>
  <c r="G47" i="10106"/>
  <c r="H47" i="10106"/>
  <c r="I47" i="10106"/>
  <c r="L47" i="10106"/>
  <c r="M47" i="10106"/>
  <c r="N47" i="10106"/>
  <c r="O47" i="10106"/>
  <c r="P47" i="10106"/>
  <c r="D48" i="10106"/>
  <c r="E48" i="10106"/>
  <c r="F48" i="10106"/>
  <c r="G48" i="10106"/>
  <c r="H48" i="10106"/>
  <c r="I48" i="10106"/>
  <c r="L48" i="10106"/>
  <c r="M48" i="10106"/>
  <c r="N48" i="10106"/>
  <c r="O48" i="10106"/>
  <c r="P48" i="10106"/>
  <c r="D49" i="10106"/>
  <c r="E49" i="10106"/>
  <c r="F49" i="10106"/>
  <c r="G49" i="10106"/>
  <c r="H49" i="10106"/>
  <c r="I49" i="10106"/>
  <c r="L49" i="10106"/>
  <c r="M49" i="10106"/>
  <c r="N49" i="10106"/>
  <c r="O49" i="10106"/>
  <c r="P49" i="10106"/>
  <c r="D50" i="10106"/>
  <c r="E50" i="10106"/>
  <c r="F50" i="10106"/>
  <c r="G50" i="10106"/>
  <c r="H50" i="10106"/>
  <c r="I50" i="10106"/>
  <c r="J50" i="10106"/>
  <c r="K50" i="10106"/>
  <c r="L50" i="10106"/>
  <c r="M50" i="10106"/>
  <c r="N50" i="10106"/>
  <c r="O50" i="10106"/>
  <c r="P50" i="10106"/>
  <c r="P51" i="10106"/>
  <c r="P52" i="10106"/>
  <c r="P53" i="10106"/>
  <c r="P54" i="10106"/>
  <c r="P55" i="10106"/>
  <c r="P56" i="10106"/>
  <c r="D57" i="10106"/>
  <c r="E57" i="10106"/>
  <c r="F57" i="10106"/>
  <c r="G57" i="10106"/>
  <c r="H57" i="10106"/>
  <c r="I57" i="10106"/>
  <c r="J57" i="10106"/>
  <c r="K57" i="10106"/>
  <c r="L57" i="10106"/>
  <c r="M57" i="10106"/>
  <c r="N57" i="10106"/>
  <c r="O57" i="10106"/>
  <c r="P57" i="10106"/>
  <c r="P58" i="10106"/>
  <c r="P59" i="10106"/>
  <c r="P60" i="10106"/>
  <c r="P61" i="10106"/>
  <c r="P62" i="10106"/>
  <c r="P63" i="10106"/>
  <c r="P64" i="10106"/>
  <c r="D65" i="10106"/>
  <c r="E65" i="10106"/>
  <c r="F65" i="10106"/>
  <c r="G65" i="10106"/>
  <c r="H65" i="10106"/>
  <c r="I65" i="10106"/>
  <c r="J65" i="10106"/>
  <c r="K65" i="10106"/>
  <c r="L65" i="10106"/>
  <c r="M65" i="10106"/>
  <c r="N65" i="10106"/>
  <c r="O65" i="10106"/>
  <c r="P65" i="10106"/>
  <c r="P66" i="10106"/>
  <c r="P67" i="10106"/>
  <c r="P68" i="10106"/>
  <c r="P69" i="10106"/>
  <c r="D70" i="10106"/>
  <c r="E70" i="10106"/>
  <c r="F70" i="10106"/>
  <c r="G70" i="10106"/>
  <c r="H70" i="10106"/>
  <c r="I70" i="10106"/>
  <c r="J70" i="10106"/>
  <c r="K70" i="10106"/>
  <c r="L70" i="10106"/>
  <c r="M70" i="10106"/>
  <c r="N70" i="10106"/>
  <c r="O70" i="10106"/>
  <c r="P70" i="10106"/>
  <c r="P71" i="10106"/>
  <c r="P72" i="10106"/>
  <c r="P73" i="10106"/>
  <c r="D74" i="10106"/>
  <c r="E74" i="10106"/>
  <c r="F74" i="10106"/>
  <c r="G74" i="10106"/>
  <c r="H74" i="10106"/>
  <c r="I74" i="10106"/>
  <c r="J74" i="10106"/>
  <c r="K74" i="10106"/>
  <c r="L74" i="10106"/>
  <c r="M74" i="10106"/>
  <c r="N74" i="10106"/>
  <c r="O74" i="10106"/>
  <c r="P74" i="10106"/>
  <c r="P75" i="10106"/>
  <c r="P76" i="10106"/>
  <c r="P77" i="10106"/>
  <c r="P78" i="10106"/>
  <c r="P79" i="10106"/>
  <c r="P80" i="10106"/>
  <c r="P81" i="10106"/>
  <c r="P82" i="10106"/>
  <c r="D83" i="10106"/>
  <c r="E83" i="10106"/>
  <c r="F83" i="10106"/>
  <c r="G83" i="10106"/>
  <c r="H83" i="10106"/>
  <c r="I83" i="10106"/>
  <c r="J83" i="10106"/>
  <c r="K83" i="10106"/>
  <c r="L83" i="10106"/>
  <c r="M83" i="10106"/>
  <c r="N83" i="10106"/>
  <c r="O83" i="10106"/>
  <c r="P83" i="10106"/>
  <c r="D84" i="10106"/>
  <c r="E84" i="10106"/>
  <c r="F84" i="10106"/>
  <c r="G84" i="10106"/>
  <c r="H84" i="10106"/>
  <c r="I84" i="10106"/>
  <c r="L84" i="10106"/>
  <c r="M84" i="10106"/>
  <c r="N84" i="10106"/>
  <c r="O84" i="10106"/>
  <c r="P84" i="10106"/>
  <c r="D85" i="10106"/>
  <c r="E85" i="10106"/>
  <c r="F85" i="10106"/>
  <c r="G85" i="10106"/>
  <c r="H85" i="10106"/>
  <c r="I85" i="10106"/>
  <c r="L85" i="10106"/>
  <c r="M85" i="10106"/>
  <c r="N85" i="10106"/>
  <c r="O85" i="10106"/>
  <c r="P85" i="10106"/>
  <c r="D86" i="10106"/>
  <c r="E86" i="10106"/>
  <c r="F86" i="10106"/>
  <c r="G86" i="10106"/>
  <c r="H86" i="10106"/>
  <c r="I86" i="10106"/>
  <c r="L86" i="10106"/>
  <c r="M86" i="10106"/>
  <c r="N86" i="10106"/>
  <c r="O86" i="10106"/>
  <c r="P86" i="10106"/>
  <c r="D87" i="10106"/>
  <c r="E87" i="10106"/>
  <c r="F87" i="10106"/>
  <c r="G87" i="10106"/>
  <c r="H87" i="10106"/>
  <c r="I87" i="10106"/>
  <c r="J87" i="10106"/>
  <c r="K87" i="10106"/>
  <c r="L87" i="10106"/>
  <c r="M87" i="10106"/>
  <c r="N87" i="10106"/>
  <c r="O87" i="10106"/>
  <c r="P87" i="10106"/>
  <c r="B90" i="10106"/>
  <c r="E1" i="10110"/>
  <c r="H1" i="10110"/>
  <c r="K1" i="10110"/>
  <c r="N1" i="10110"/>
  <c r="Q1" i="10110"/>
  <c r="T1" i="10110"/>
  <c r="W1" i="10110"/>
  <c r="Y1" i="10110"/>
  <c r="Z1" i="10110"/>
  <c r="AB2" i="10110"/>
  <c r="H4" i="10110"/>
  <c r="K4" i="10110"/>
  <c r="N4" i="10110"/>
  <c r="Q4" i="10110"/>
  <c r="T4" i="10110"/>
  <c r="W4" i="10110"/>
  <c r="Y4" i="10110"/>
  <c r="Z4" i="10110"/>
  <c r="E6" i="10110"/>
  <c r="H6" i="10110"/>
  <c r="K6" i="10110"/>
  <c r="N6" i="10110"/>
  <c r="Q6" i="10110"/>
  <c r="T6" i="10110"/>
  <c r="W6" i="10110"/>
  <c r="Y6" i="10110"/>
  <c r="Z6" i="10110"/>
  <c r="AB6" i="10110"/>
  <c r="E23" i="10110"/>
  <c r="K23" i="10110"/>
  <c r="N23" i="10110"/>
  <c r="Q23" i="10110"/>
  <c r="T23" i="10110"/>
  <c r="W23" i="10110"/>
  <c r="AB23" i="10110"/>
  <c r="AD23" i="10110"/>
  <c r="K24" i="10110"/>
  <c r="Q24" i="10110"/>
  <c r="T24" i="10110"/>
  <c r="W24" i="10110"/>
  <c r="AB24" i="10110"/>
  <c r="AD24" i="10110"/>
  <c r="K25" i="10110"/>
  <c r="Q25" i="10110"/>
  <c r="T25" i="10110"/>
  <c r="W25" i="10110"/>
  <c r="AB25" i="10110"/>
  <c r="AD25" i="10110"/>
  <c r="K26" i="10110"/>
  <c r="Q26" i="10110"/>
  <c r="T26" i="10110"/>
  <c r="W26" i="10110"/>
  <c r="AB26" i="10110"/>
  <c r="AD26" i="10110"/>
  <c r="E27" i="10110"/>
  <c r="K27" i="10110"/>
  <c r="Q27" i="10110"/>
  <c r="T27" i="10110"/>
  <c r="W27" i="10110"/>
  <c r="AB27" i="10110"/>
  <c r="AD27" i="10110"/>
  <c r="K28" i="10110"/>
  <c r="Q28" i="10110"/>
  <c r="T28" i="10110"/>
  <c r="W28" i="10110"/>
  <c r="AB28" i="10110"/>
  <c r="AD28" i="10110"/>
  <c r="K29" i="10110"/>
  <c r="Q29" i="10110"/>
  <c r="T29" i="10110"/>
  <c r="W29" i="10110"/>
  <c r="AB29" i="10110"/>
  <c r="AD29" i="10110"/>
  <c r="K30" i="10110"/>
  <c r="Q30" i="10110"/>
  <c r="T30" i="10110"/>
  <c r="W30" i="10110"/>
  <c r="AB30" i="10110"/>
  <c r="AD30" i="10110"/>
  <c r="K31" i="10110"/>
  <c r="M31" i="10110"/>
  <c r="N31" i="10110"/>
  <c r="Q31" i="10110"/>
  <c r="T31" i="10110"/>
  <c r="V31" i="10110"/>
  <c r="W31" i="10110"/>
  <c r="AB31" i="10110"/>
  <c r="AD31" i="10110"/>
  <c r="E32" i="10110"/>
  <c r="K32" i="10110"/>
  <c r="Q32" i="10110"/>
  <c r="T32" i="10110"/>
  <c r="W32" i="10110"/>
  <c r="AB32" i="10110"/>
  <c r="AD32" i="10110"/>
  <c r="K33" i="10110"/>
  <c r="Q33" i="10110"/>
  <c r="T33" i="10110"/>
  <c r="W33" i="10110"/>
  <c r="AB33" i="10110"/>
  <c r="AC33" i="10110"/>
  <c r="AD33" i="10110"/>
  <c r="D34" i="10110"/>
  <c r="E34" i="10110"/>
  <c r="G34" i="10110"/>
  <c r="K34" i="10110"/>
  <c r="M34" i="10110"/>
  <c r="N34" i="10110"/>
  <c r="P34" i="10110"/>
  <c r="Q34" i="10110"/>
  <c r="T34" i="10110"/>
  <c r="W34" i="10110"/>
  <c r="Y34" i="10110"/>
  <c r="Z34" i="10110"/>
  <c r="AB34" i="10110"/>
  <c r="D35" i="10110"/>
  <c r="E35" i="10110"/>
  <c r="G35" i="10110"/>
  <c r="K35" i="10110"/>
  <c r="M35" i="10110"/>
  <c r="N35" i="10110"/>
  <c r="P35" i="10110"/>
  <c r="Q35" i="10110"/>
  <c r="T35" i="10110"/>
  <c r="W35" i="10110"/>
  <c r="Y35" i="10110"/>
  <c r="Z35" i="10110"/>
  <c r="AB35" i="10110"/>
  <c r="AD35" i="10110"/>
  <c r="E36" i="10110"/>
  <c r="K36" i="10110"/>
  <c r="N36" i="10110"/>
  <c r="Q36" i="10110"/>
  <c r="T36" i="10110"/>
  <c r="W36" i="10110"/>
  <c r="AB36" i="10110"/>
  <c r="AD36" i="10110"/>
  <c r="E37" i="10110"/>
  <c r="K37" i="10110"/>
  <c r="N37" i="10110"/>
  <c r="Q37" i="10110"/>
  <c r="T37" i="10110"/>
  <c r="W37" i="10110"/>
  <c r="Y37" i="10110"/>
  <c r="Z37" i="10110"/>
  <c r="AB37" i="10110"/>
  <c r="AD37" i="10110"/>
  <c r="E38" i="10110"/>
  <c r="K38" i="10110"/>
  <c r="N38" i="10110"/>
  <c r="Q38" i="10110"/>
  <c r="T38" i="10110"/>
  <c r="W38" i="10110"/>
  <c r="Y38" i="10110"/>
  <c r="Z38" i="10110"/>
  <c r="AB38" i="10110"/>
  <c r="AD38" i="10110"/>
  <c r="E39" i="10110"/>
  <c r="K39" i="10110"/>
  <c r="N39" i="10110"/>
  <c r="Q39" i="10110"/>
  <c r="T39" i="10110"/>
  <c r="W39" i="10110"/>
  <c r="Y39" i="10110"/>
  <c r="Z39" i="10110"/>
  <c r="AB39" i="10110"/>
  <c r="AD39" i="10110"/>
  <c r="E40" i="10110"/>
  <c r="K40" i="10110"/>
  <c r="N40" i="10110"/>
  <c r="Q40" i="10110"/>
  <c r="T40" i="10110"/>
  <c r="W40" i="10110"/>
  <c r="Y40" i="10110"/>
  <c r="Z40" i="10110"/>
  <c r="AB40" i="10110"/>
  <c r="AD40" i="10110"/>
  <c r="E41" i="10110"/>
  <c r="G41" i="10110"/>
  <c r="K41" i="10110"/>
  <c r="N41" i="10110"/>
  <c r="Q41" i="10110"/>
  <c r="S41" i="10110"/>
  <c r="T41" i="10110"/>
  <c r="W41" i="10110"/>
  <c r="Y41" i="10110"/>
  <c r="Z41" i="10110"/>
  <c r="AB41" i="10110"/>
  <c r="AD41" i="10110"/>
  <c r="E42" i="10110"/>
  <c r="K42" i="10110"/>
  <c r="N42" i="10110"/>
  <c r="Q42" i="10110"/>
  <c r="T42" i="10110"/>
  <c r="W42" i="10110"/>
  <c r="AB42" i="10110"/>
  <c r="AD42" i="10110"/>
  <c r="E43" i="10110"/>
  <c r="K43" i="10110"/>
  <c r="N43" i="10110"/>
  <c r="Q43" i="10110"/>
  <c r="T43" i="10110"/>
  <c r="W43" i="10110"/>
  <c r="Y43" i="10110"/>
  <c r="Z43" i="10110"/>
  <c r="AB43" i="10110"/>
  <c r="AD43" i="10110"/>
  <c r="E44" i="10110"/>
  <c r="K44" i="10110"/>
  <c r="N44" i="10110"/>
  <c r="Q44" i="10110"/>
  <c r="T44" i="10110"/>
  <c r="W44" i="10110"/>
  <c r="Y44" i="10110"/>
  <c r="Z44" i="10110"/>
  <c r="AB44" i="10110"/>
  <c r="AD44" i="10110"/>
  <c r="E45" i="10110"/>
  <c r="K45" i="10110"/>
  <c r="N45" i="10110"/>
  <c r="Q45" i="10110"/>
  <c r="T45" i="10110"/>
  <c r="W45" i="10110"/>
  <c r="AB45" i="10110"/>
  <c r="AD45" i="10110"/>
  <c r="E46" i="10110"/>
  <c r="K46" i="10110"/>
  <c r="N46" i="10110"/>
  <c r="Q46" i="10110"/>
  <c r="T46" i="10110"/>
  <c r="W46" i="10110"/>
  <c r="AB46" i="10110"/>
  <c r="AD46" i="10110"/>
  <c r="E47" i="10110"/>
  <c r="K47" i="10110"/>
  <c r="N47" i="10110"/>
  <c r="Q47" i="10110"/>
  <c r="T47" i="10110"/>
  <c r="W47" i="10110"/>
  <c r="Y47" i="10110"/>
  <c r="Z47" i="10110"/>
  <c r="AB47" i="10110"/>
  <c r="AD47" i="10110"/>
  <c r="E48" i="10110"/>
  <c r="K48" i="10110"/>
  <c r="N48" i="10110"/>
  <c r="Q48" i="10110"/>
  <c r="T48" i="10110"/>
  <c r="W48" i="10110"/>
  <c r="AB48" i="10110"/>
  <c r="AD48" i="10110"/>
  <c r="E49" i="10110"/>
  <c r="K49" i="10110"/>
  <c r="N49" i="10110"/>
  <c r="Q49" i="10110"/>
  <c r="T49" i="10110"/>
  <c r="W49" i="10110"/>
  <c r="AB49" i="10110"/>
  <c r="AD49" i="10110"/>
  <c r="K50" i="10110"/>
  <c r="T50" i="10110"/>
  <c r="W50" i="10110"/>
  <c r="AB50" i="10110"/>
  <c r="AD50" i="10110"/>
  <c r="K51" i="10110"/>
  <c r="Q51" i="10110"/>
  <c r="T51" i="10110"/>
  <c r="W51" i="10110"/>
  <c r="AB51" i="10110"/>
  <c r="AD51" i="10110"/>
  <c r="E52" i="10110"/>
  <c r="K52" i="10110"/>
  <c r="N52" i="10110"/>
  <c r="Q52" i="10110"/>
  <c r="T52" i="10110"/>
  <c r="W52" i="10110"/>
  <c r="AB52" i="10110"/>
  <c r="AD52" i="10110"/>
  <c r="E53" i="10110"/>
  <c r="K53" i="10110"/>
  <c r="N53" i="10110"/>
  <c r="Q53" i="10110"/>
  <c r="T53" i="10110"/>
  <c r="W53" i="10110"/>
  <c r="AB53" i="10110"/>
  <c r="AD53" i="10110"/>
  <c r="E54" i="10110"/>
  <c r="K54" i="10110"/>
  <c r="N54" i="10110"/>
  <c r="Q54" i="10110"/>
  <c r="T54" i="10110"/>
  <c r="W54" i="10110"/>
  <c r="AB54" i="10110"/>
  <c r="AD54" i="10110"/>
  <c r="E55" i="10110"/>
  <c r="K55" i="10110"/>
  <c r="N55" i="10110"/>
  <c r="Q55" i="10110"/>
  <c r="T55" i="10110"/>
  <c r="W55" i="10110"/>
  <c r="AB55" i="10110"/>
  <c r="AD55" i="10110"/>
  <c r="E56" i="10110"/>
  <c r="K56" i="10110"/>
  <c r="N56" i="10110"/>
  <c r="Q56" i="10110"/>
  <c r="S56" i="10110"/>
  <c r="T56" i="10110"/>
  <c r="W56" i="10110"/>
  <c r="AB56" i="10110"/>
  <c r="AD56" i="10110"/>
  <c r="E57" i="10110"/>
  <c r="K57" i="10110"/>
  <c r="N57" i="10110"/>
  <c r="Q57" i="10110"/>
  <c r="T57" i="10110"/>
  <c r="W57" i="10110"/>
  <c r="AB57" i="10110"/>
  <c r="AD57" i="10110"/>
  <c r="E58" i="10110"/>
  <c r="K58" i="10110"/>
  <c r="N58" i="10110"/>
  <c r="Q58" i="10110"/>
  <c r="T58" i="10110"/>
  <c r="W58" i="10110"/>
  <c r="Y58" i="10110"/>
  <c r="Z58" i="10110"/>
  <c r="AB58" i="10110"/>
  <c r="AD58" i="10110"/>
  <c r="E59" i="10110"/>
  <c r="K59" i="10110"/>
  <c r="N59" i="10110"/>
  <c r="Q59" i="10110"/>
  <c r="T59" i="10110"/>
  <c r="W59" i="10110"/>
  <c r="Y59" i="10110"/>
  <c r="Z59" i="10110"/>
  <c r="AB59" i="10110"/>
  <c r="AD59" i="10110"/>
  <c r="E60" i="10110"/>
  <c r="K60" i="10110"/>
  <c r="N60" i="10110"/>
  <c r="Q60" i="10110"/>
  <c r="T60" i="10110"/>
  <c r="W60" i="10110"/>
  <c r="AB60" i="10110"/>
  <c r="AD60" i="10110"/>
  <c r="E61" i="10110"/>
  <c r="K61" i="10110"/>
  <c r="N61" i="10110"/>
  <c r="Q61" i="10110"/>
  <c r="T61" i="10110"/>
  <c r="W61" i="10110"/>
  <c r="AB61" i="10110"/>
  <c r="AD61" i="10110"/>
  <c r="E62" i="10110"/>
  <c r="K62" i="10110"/>
  <c r="N62" i="10110"/>
  <c r="Q62" i="10110"/>
  <c r="T62" i="10110"/>
  <c r="W62" i="10110"/>
  <c r="AB62" i="10110"/>
  <c r="AD62" i="10110"/>
  <c r="E63" i="10110"/>
  <c r="K63" i="10110"/>
  <c r="N63" i="10110"/>
  <c r="Q63" i="10110"/>
  <c r="T63" i="10110"/>
  <c r="W63" i="10110"/>
  <c r="AB63" i="10110"/>
  <c r="AD63" i="10110"/>
  <c r="E64" i="10110"/>
  <c r="K64" i="10110"/>
  <c r="N64" i="10110"/>
  <c r="Q64" i="10110"/>
  <c r="T64" i="10110"/>
  <c r="W64" i="10110"/>
  <c r="AB64" i="10110"/>
  <c r="AD64" i="10110"/>
  <c r="E65" i="10110"/>
  <c r="K65" i="10110"/>
  <c r="N65" i="10110"/>
  <c r="Q65" i="10110"/>
  <c r="T65" i="10110"/>
  <c r="W65" i="10110"/>
  <c r="AB65" i="10110"/>
  <c r="AD65" i="10110"/>
  <c r="E66" i="10110"/>
  <c r="K66" i="10110"/>
  <c r="N66" i="10110"/>
  <c r="Q66" i="10110"/>
  <c r="T66" i="10110"/>
  <c r="W66" i="10110"/>
  <c r="AB66" i="10110"/>
  <c r="AD66" i="10110"/>
  <c r="E67" i="10110"/>
  <c r="K67" i="10110"/>
  <c r="M67" i="10110"/>
  <c r="N67" i="10110"/>
  <c r="Q67" i="10110"/>
  <c r="T67" i="10110"/>
  <c r="W67" i="10110"/>
  <c r="Y67" i="10110"/>
  <c r="Z67" i="10110"/>
  <c r="AB67" i="10110"/>
  <c r="AD67" i="10110"/>
  <c r="E68" i="10110"/>
  <c r="K68" i="10110"/>
  <c r="N68" i="10110"/>
  <c r="Q68" i="10110"/>
  <c r="T68" i="10110"/>
  <c r="W68" i="10110"/>
  <c r="AB68" i="10110"/>
  <c r="AD68" i="10110"/>
  <c r="E69" i="10110"/>
  <c r="K69" i="10110"/>
  <c r="N69" i="10110"/>
  <c r="Q69" i="10110"/>
  <c r="T69" i="10110"/>
  <c r="W69" i="10110"/>
  <c r="Y69" i="10110"/>
  <c r="Z69" i="10110"/>
  <c r="AB69" i="10110"/>
  <c r="AD69" i="10110"/>
  <c r="E70" i="10110"/>
  <c r="K70" i="10110"/>
  <c r="N70" i="10110"/>
  <c r="Q70" i="10110"/>
  <c r="T70" i="10110"/>
  <c r="W70" i="10110"/>
  <c r="AB70" i="10110"/>
  <c r="AD70" i="10110"/>
  <c r="D82" i="10110"/>
  <c r="E82" i="10110"/>
  <c r="G82" i="10110"/>
  <c r="H82" i="10110"/>
  <c r="J82" i="10110"/>
  <c r="K82" i="10110"/>
  <c r="M82" i="10110"/>
  <c r="N82" i="10110"/>
  <c r="P82" i="10110"/>
  <c r="Q82" i="10110"/>
  <c r="S82" i="10110"/>
  <c r="T82" i="10110"/>
  <c r="V82" i="10110"/>
  <c r="W82" i="10110"/>
  <c r="Y82" i="10110"/>
  <c r="Z82" i="10110"/>
  <c r="AB82" i="10110"/>
  <c r="E84" i="10110"/>
  <c r="H84" i="10110"/>
  <c r="K84" i="10110"/>
  <c r="N84" i="10110"/>
  <c r="Q84" i="10110"/>
  <c r="T84" i="10110"/>
  <c r="W84" i="10110"/>
  <c r="Z84" i="10110"/>
  <c r="AB84" i="10110"/>
  <c r="H85" i="10110"/>
  <c r="B8" i="10093"/>
  <c r="D9" i="10104"/>
  <c r="C14" i="10104"/>
  <c r="D15" i="10104"/>
  <c r="E15" i="10104"/>
  <c r="F15" i="10104"/>
  <c r="D16" i="10104"/>
  <c r="E16" i="10104"/>
  <c r="F16" i="10104"/>
  <c r="D17" i="10104"/>
  <c r="E17" i="10104"/>
  <c r="F17" i="10104"/>
  <c r="D18" i="10104"/>
  <c r="E18" i="10104"/>
  <c r="F18" i="10104"/>
  <c r="E19" i="10104"/>
  <c r="F19" i="10104"/>
  <c r="D20" i="10104"/>
  <c r="E20" i="10104"/>
  <c r="F20" i="10104"/>
  <c r="D21" i="10104"/>
  <c r="E21" i="10104"/>
  <c r="F21" i="10104"/>
  <c r="C22" i="10104"/>
  <c r="D22" i="10104"/>
  <c r="E22" i="10104"/>
  <c r="F22" i="10104"/>
  <c r="D23" i="10104"/>
  <c r="E23" i="10104"/>
  <c r="F23" i="10104"/>
  <c r="C24" i="10104"/>
  <c r="D24" i="10104"/>
  <c r="E24" i="10104"/>
  <c r="F24" i="10104"/>
  <c r="D25" i="10104"/>
  <c r="E25" i="10104"/>
  <c r="D26" i="10104"/>
  <c r="E26" i="10104"/>
  <c r="D27" i="10104"/>
  <c r="E27" i="10104"/>
  <c r="E28" i="10104"/>
  <c r="F28" i="10104"/>
  <c r="C29" i="10104"/>
  <c r="D29" i="10104"/>
  <c r="E29" i="10104"/>
  <c r="F29" i="10104"/>
  <c r="D31" i="10104"/>
  <c r="D33" i="10104"/>
  <c r="E33" i="10104"/>
  <c r="F33" i="10104"/>
  <c r="E34" i="10104"/>
  <c r="F34" i="10104"/>
  <c r="D35" i="10104"/>
  <c r="E35" i="10104"/>
  <c r="F35" i="10104"/>
  <c r="D36" i="10104"/>
  <c r="E36" i="10104"/>
  <c r="F36" i="10104"/>
  <c r="D37" i="10104"/>
  <c r="E37" i="10104"/>
  <c r="F37" i="10104"/>
  <c r="D38" i="10104"/>
  <c r="E38" i="10104"/>
  <c r="F38" i="10104"/>
  <c r="D39" i="10104"/>
  <c r="E39" i="10104"/>
  <c r="F39" i="10104"/>
  <c r="D40" i="10104"/>
  <c r="E40" i="10104"/>
  <c r="F40" i="10104"/>
  <c r="D41" i="10104"/>
  <c r="E41" i="10104"/>
  <c r="F41" i="10104"/>
  <c r="D42" i="10104"/>
  <c r="E42" i="10104"/>
  <c r="F42" i="10104"/>
  <c r="D43" i="10104"/>
  <c r="E43" i="10104"/>
  <c r="F43" i="10104"/>
  <c r="D44" i="10104"/>
  <c r="E44" i="10104"/>
  <c r="F44" i="10104"/>
  <c r="D45" i="10104"/>
  <c r="E45" i="10104"/>
  <c r="F45" i="10104"/>
  <c r="D46" i="10104"/>
  <c r="E46" i="10104"/>
  <c r="F46" i="10104"/>
  <c r="D47" i="10104"/>
  <c r="E47" i="10104"/>
  <c r="F47" i="10104"/>
  <c r="D48" i="10104"/>
  <c r="E48" i="10104"/>
  <c r="F48" i="10104"/>
  <c r="D49" i="10104"/>
  <c r="E49" i="10104"/>
  <c r="F49" i="10104"/>
  <c r="D50" i="10104"/>
  <c r="E50" i="10104"/>
  <c r="F50" i="10104"/>
  <c r="D51" i="10104"/>
  <c r="E51" i="10104"/>
  <c r="F51" i="10104"/>
  <c r="D52" i="10104"/>
  <c r="E52" i="10104"/>
  <c r="F52" i="10104"/>
  <c r="D53" i="10104"/>
  <c r="E53" i="10104"/>
  <c r="F53" i="10104"/>
  <c r="D54" i="10104"/>
  <c r="E54" i="10104"/>
  <c r="F54" i="10104"/>
  <c r="D55" i="10104"/>
  <c r="E55" i="10104"/>
  <c r="F55" i="10104"/>
  <c r="D56" i="10104"/>
  <c r="E56" i="10104"/>
  <c r="F56" i="10104"/>
  <c r="D57" i="10104"/>
  <c r="E57" i="10104"/>
  <c r="F57" i="10104"/>
  <c r="D58" i="10104"/>
  <c r="E58" i="10104"/>
  <c r="F58" i="10104"/>
  <c r="D59" i="10104"/>
  <c r="E59" i="10104"/>
  <c r="F59" i="10104"/>
  <c r="D60" i="10104"/>
  <c r="E60" i="10104"/>
  <c r="F60" i="10104"/>
  <c r="D61" i="10104"/>
  <c r="E61" i="10104"/>
  <c r="F61" i="10104"/>
  <c r="D62" i="10104"/>
  <c r="E62" i="10104"/>
  <c r="F62" i="10104"/>
  <c r="D63" i="10104"/>
  <c r="E63" i="10104"/>
  <c r="F63" i="10104"/>
  <c r="D64" i="10104"/>
  <c r="E64" i="10104"/>
  <c r="F64" i="10104"/>
  <c r="D65" i="10104"/>
  <c r="E65" i="10104"/>
  <c r="F65" i="10104"/>
  <c r="D66" i="10104"/>
  <c r="E66" i="10104"/>
  <c r="F66" i="10104"/>
  <c r="D67" i="10104"/>
  <c r="E67" i="10104"/>
  <c r="F67" i="10104"/>
  <c r="D68" i="10104"/>
  <c r="E68" i="10104"/>
  <c r="F68" i="10104"/>
  <c r="D69" i="10104"/>
  <c r="E69" i="10104"/>
  <c r="F69" i="10104"/>
  <c r="D70" i="10104"/>
  <c r="E70" i="10104"/>
  <c r="F70" i="10104"/>
  <c r="D71" i="10104"/>
  <c r="E71" i="10104"/>
  <c r="F71" i="10104"/>
  <c r="D72" i="10104"/>
  <c r="E72" i="10104"/>
  <c r="F72" i="10104"/>
  <c r="D73" i="10104"/>
  <c r="E73" i="10104"/>
  <c r="F73" i="10104"/>
  <c r="D74" i="10104"/>
  <c r="E74" i="10104"/>
  <c r="F74" i="10104"/>
  <c r="D75" i="10104"/>
  <c r="E75" i="10104"/>
  <c r="F75" i="10104"/>
  <c r="D76" i="10104"/>
  <c r="E76" i="10104"/>
  <c r="F76" i="10104"/>
  <c r="D77" i="10104"/>
  <c r="E77" i="10104"/>
  <c r="F77" i="10104"/>
  <c r="D78" i="10104"/>
  <c r="E78" i="10104"/>
  <c r="F78" i="10104"/>
  <c r="E79" i="10104"/>
  <c r="F79" i="10104"/>
  <c r="D80" i="10104"/>
  <c r="E80" i="10104"/>
  <c r="F80" i="10104"/>
  <c r="D81" i="10104"/>
  <c r="E81" i="10104"/>
  <c r="F81" i="10104"/>
  <c r="E82" i="10104"/>
  <c r="F82" i="10104"/>
  <c r="E83" i="10104"/>
  <c r="F83" i="10104"/>
  <c r="D84" i="10104"/>
  <c r="E84" i="10104"/>
  <c r="F84" i="10104"/>
  <c r="E85" i="10104"/>
  <c r="F85" i="10104"/>
  <c r="D86" i="10104"/>
  <c r="E86" i="10104"/>
  <c r="F86" i="10104"/>
  <c r="A88" i="10104"/>
  <c r="C14" i="10109"/>
  <c r="E14" i="10109"/>
  <c r="F14" i="10109"/>
  <c r="D15" i="10109"/>
  <c r="E15" i="10109"/>
  <c r="F15" i="10109"/>
  <c r="D16" i="10109"/>
  <c r="E16" i="10109"/>
  <c r="F16" i="10109"/>
  <c r="D17" i="10109"/>
  <c r="E17" i="10109"/>
  <c r="F17" i="10109"/>
  <c r="D18" i="10109"/>
  <c r="E18" i="10109"/>
  <c r="F18" i="10109"/>
  <c r="F19" i="10109"/>
  <c r="D20" i="10109"/>
  <c r="E20" i="10109"/>
  <c r="F20" i="10109"/>
  <c r="D21" i="10109"/>
  <c r="E21" i="10109"/>
  <c r="F21" i="10109"/>
  <c r="C22" i="10109"/>
  <c r="D22" i="10109"/>
  <c r="E22" i="10109"/>
  <c r="F22" i="10109"/>
  <c r="D23" i="10109"/>
  <c r="E23" i="10109"/>
  <c r="F23" i="10109"/>
  <c r="C24" i="10109"/>
  <c r="D24" i="10109"/>
  <c r="E24" i="10109"/>
  <c r="F24" i="10109"/>
  <c r="D25" i="10109"/>
  <c r="D26" i="10109"/>
  <c r="E26" i="10109"/>
  <c r="D27" i="10109"/>
  <c r="E27" i="10109"/>
  <c r="F28" i="10109"/>
  <c r="C29" i="10109"/>
  <c r="D29" i="10109"/>
  <c r="E29" i="10109"/>
  <c r="F29" i="10109"/>
  <c r="D33" i="10109"/>
  <c r="E33" i="10109"/>
  <c r="F33" i="10109"/>
  <c r="F34" i="10109"/>
  <c r="D35" i="10109"/>
  <c r="E35" i="10109"/>
  <c r="F35" i="10109"/>
  <c r="D36" i="10109"/>
  <c r="E36" i="10109"/>
  <c r="F36" i="10109"/>
  <c r="D37" i="10109"/>
  <c r="E37" i="10109"/>
  <c r="F37" i="10109"/>
  <c r="D38" i="10109"/>
  <c r="E38" i="10109"/>
  <c r="F38" i="10109"/>
  <c r="D39" i="10109"/>
  <c r="E39" i="10109"/>
  <c r="F39" i="10109"/>
  <c r="D40" i="10109"/>
  <c r="E40" i="10109"/>
  <c r="F40" i="10109"/>
  <c r="D41" i="10109"/>
  <c r="E41" i="10109"/>
  <c r="F41" i="10109"/>
  <c r="D42" i="10109"/>
  <c r="E42" i="10109"/>
  <c r="F42" i="10109"/>
  <c r="D43" i="10109"/>
  <c r="E43" i="10109"/>
  <c r="F43" i="10109"/>
  <c r="D44" i="10109"/>
  <c r="E44" i="10109"/>
  <c r="F44" i="10109"/>
  <c r="D45" i="10109"/>
  <c r="E45" i="10109"/>
  <c r="F45" i="10109"/>
  <c r="D46" i="10109"/>
  <c r="E46" i="10109"/>
  <c r="F46" i="10109"/>
  <c r="D47" i="10109"/>
  <c r="E47" i="10109"/>
  <c r="F47" i="10109"/>
  <c r="D48" i="10109"/>
  <c r="E48" i="10109"/>
  <c r="F48" i="10109"/>
  <c r="D49" i="10109"/>
  <c r="E49" i="10109"/>
  <c r="F49" i="10109"/>
  <c r="D50" i="10109"/>
  <c r="E50" i="10109"/>
  <c r="F50" i="10109"/>
  <c r="D51" i="10109"/>
  <c r="E51" i="10109"/>
  <c r="F51" i="10109"/>
  <c r="D52" i="10109"/>
  <c r="E52" i="10109"/>
  <c r="F52" i="10109"/>
  <c r="D53" i="10109"/>
  <c r="E53" i="10109"/>
  <c r="F53" i="10109"/>
  <c r="D54" i="10109"/>
  <c r="E54" i="10109"/>
  <c r="F54" i="10109"/>
  <c r="D55" i="10109"/>
  <c r="E55" i="10109"/>
  <c r="F55" i="10109"/>
  <c r="D56" i="10109"/>
  <c r="E56" i="10109"/>
  <c r="F56" i="10109"/>
  <c r="D57" i="10109"/>
  <c r="E57" i="10109"/>
  <c r="F57" i="10109"/>
  <c r="D58" i="10109"/>
  <c r="E58" i="10109"/>
  <c r="F58" i="10109"/>
  <c r="D59" i="10109"/>
  <c r="E59" i="10109"/>
  <c r="F59" i="10109"/>
  <c r="D60" i="10109"/>
  <c r="E60" i="10109"/>
  <c r="F60" i="10109"/>
  <c r="D61" i="10109"/>
  <c r="E61" i="10109"/>
  <c r="F61" i="10109"/>
  <c r="D62" i="10109"/>
  <c r="E62" i="10109"/>
  <c r="F62" i="10109"/>
  <c r="D63" i="10109"/>
  <c r="E63" i="10109"/>
  <c r="F63" i="10109"/>
  <c r="D64" i="10109"/>
  <c r="E64" i="10109"/>
  <c r="F64" i="10109"/>
  <c r="D65" i="10109"/>
  <c r="E65" i="10109"/>
  <c r="F65" i="10109"/>
  <c r="D66" i="10109"/>
  <c r="E66" i="10109"/>
  <c r="F66" i="10109"/>
  <c r="D67" i="10109"/>
  <c r="E67" i="10109"/>
  <c r="F67" i="10109"/>
  <c r="D68" i="10109"/>
  <c r="E68" i="10109"/>
  <c r="F68" i="10109"/>
  <c r="D69" i="10109"/>
  <c r="E69" i="10109"/>
  <c r="F69" i="10109"/>
  <c r="D70" i="10109"/>
  <c r="E70" i="10109"/>
  <c r="F70" i="10109"/>
  <c r="D71" i="10109"/>
  <c r="E71" i="10109"/>
  <c r="F71" i="10109"/>
  <c r="D72" i="10109"/>
  <c r="E72" i="10109"/>
  <c r="F72" i="10109"/>
  <c r="D73" i="10109"/>
  <c r="E73" i="10109"/>
  <c r="F73" i="10109"/>
  <c r="D74" i="10109"/>
  <c r="E74" i="10109"/>
  <c r="F74" i="10109"/>
  <c r="D75" i="10109"/>
  <c r="E75" i="10109"/>
  <c r="F75" i="10109"/>
  <c r="D76" i="10109"/>
  <c r="E76" i="10109"/>
  <c r="F76" i="10109"/>
  <c r="D77" i="10109"/>
  <c r="E77" i="10109"/>
  <c r="F77" i="10109"/>
  <c r="D78" i="10109"/>
  <c r="E78" i="10109"/>
  <c r="F78" i="10109"/>
  <c r="F79" i="10109"/>
  <c r="D80" i="10109"/>
  <c r="E80" i="10109"/>
  <c r="F80" i="10109"/>
  <c r="D81" i="10109"/>
  <c r="E81" i="10109"/>
  <c r="F81" i="10109"/>
  <c r="F82" i="10109"/>
  <c r="F83" i="10109"/>
  <c r="D84" i="10109"/>
  <c r="E84" i="10109"/>
  <c r="F84" i="10109"/>
  <c r="F85" i="10109"/>
  <c r="D86" i="10109"/>
  <c r="E86" i="10109"/>
  <c r="F86" i="10109"/>
  <c r="A88" i="10109"/>
  <c r="D9" i="10102"/>
  <c r="C14" i="10102"/>
  <c r="D15" i="10102"/>
  <c r="E15" i="10102"/>
  <c r="F15" i="10102"/>
  <c r="D16" i="10102"/>
  <c r="E16" i="10102"/>
  <c r="F16" i="10102"/>
  <c r="D17" i="10102"/>
  <c r="E17" i="10102"/>
  <c r="F17" i="10102"/>
  <c r="D18" i="10102"/>
  <c r="E18" i="10102"/>
  <c r="F18" i="10102"/>
  <c r="E19" i="10102"/>
  <c r="F19" i="10102"/>
  <c r="D20" i="10102"/>
  <c r="E20" i="10102"/>
  <c r="F20" i="10102"/>
  <c r="D21" i="10102"/>
  <c r="E21" i="10102"/>
  <c r="F21" i="10102"/>
  <c r="C22" i="10102"/>
  <c r="D22" i="10102"/>
  <c r="E22" i="10102"/>
  <c r="F22" i="10102"/>
  <c r="D23" i="10102"/>
  <c r="E23" i="10102"/>
  <c r="F23" i="10102"/>
  <c r="C24" i="10102"/>
  <c r="D24" i="10102"/>
  <c r="E24" i="10102"/>
  <c r="F24" i="10102"/>
  <c r="D25" i="10102"/>
  <c r="E25" i="10102"/>
  <c r="D26" i="10102"/>
  <c r="E26" i="10102"/>
  <c r="D27" i="10102"/>
  <c r="E27" i="10102"/>
  <c r="E28" i="10102"/>
  <c r="F28" i="10102"/>
  <c r="C29" i="10102"/>
  <c r="D29" i="10102"/>
  <c r="E29" i="10102"/>
  <c r="F29" i="10102"/>
  <c r="D31" i="10102"/>
  <c r="D33" i="10102"/>
  <c r="E33" i="10102"/>
  <c r="F33" i="10102"/>
  <c r="E34" i="10102"/>
  <c r="F34" i="10102"/>
  <c r="D35" i="10102"/>
  <c r="E35" i="10102"/>
  <c r="F35" i="10102"/>
  <c r="D36" i="10102"/>
  <c r="E36" i="10102"/>
  <c r="F36" i="10102"/>
  <c r="D37" i="10102"/>
  <c r="E37" i="10102"/>
  <c r="F37" i="10102"/>
  <c r="D38" i="10102"/>
  <c r="E38" i="10102"/>
  <c r="F38" i="10102"/>
  <c r="D39" i="10102"/>
  <c r="E39" i="10102"/>
  <c r="F39" i="10102"/>
  <c r="D40" i="10102"/>
  <c r="E40" i="10102"/>
  <c r="F40" i="10102"/>
  <c r="D41" i="10102"/>
  <c r="E41" i="10102"/>
  <c r="F41" i="10102"/>
  <c r="D42" i="10102"/>
  <c r="E42" i="10102"/>
  <c r="F42" i="10102"/>
  <c r="D43" i="10102"/>
  <c r="E43" i="10102"/>
  <c r="F43" i="10102"/>
  <c r="D44" i="10102"/>
  <c r="E44" i="10102"/>
  <c r="F44" i="10102"/>
  <c r="D45" i="10102"/>
  <c r="E45" i="10102"/>
  <c r="F45" i="10102"/>
  <c r="D46" i="10102"/>
  <c r="E46" i="10102"/>
  <c r="F46" i="10102"/>
  <c r="D47" i="10102"/>
  <c r="E47" i="10102"/>
  <c r="F47" i="10102"/>
  <c r="D48" i="10102"/>
  <c r="E48" i="10102"/>
  <c r="F48" i="10102"/>
  <c r="D49" i="10102"/>
  <c r="E49" i="10102"/>
  <c r="F49" i="10102"/>
  <c r="D50" i="10102"/>
  <c r="E50" i="10102"/>
  <c r="F50" i="10102"/>
  <c r="D51" i="10102"/>
  <c r="E51" i="10102"/>
  <c r="F51" i="10102"/>
  <c r="D52" i="10102"/>
  <c r="E52" i="10102"/>
  <c r="F52" i="10102"/>
  <c r="D53" i="10102"/>
  <c r="E53" i="10102"/>
  <c r="F53" i="10102"/>
  <c r="D54" i="10102"/>
  <c r="E54" i="10102"/>
  <c r="F54" i="10102"/>
  <c r="D55" i="10102"/>
  <c r="E55" i="10102"/>
  <c r="F55" i="10102"/>
  <c r="D56" i="10102"/>
  <c r="E56" i="10102"/>
  <c r="F56" i="10102"/>
  <c r="D57" i="10102"/>
  <c r="E57" i="10102"/>
  <c r="F57" i="10102"/>
  <c r="D58" i="10102"/>
  <c r="E58" i="10102"/>
  <c r="F58" i="10102"/>
  <c r="D59" i="10102"/>
  <c r="E59" i="10102"/>
  <c r="F59" i="10102"/>
  <c r="D60" i="10102"/>
  <c r="E60" i="10102"/>
  <c r="F60" i="10102"/>
  <c r="D61" i="10102"/>
  <c r="E61" i="10102"/>
  <c r="F61" i="10102"/>
  <c r="D62" i="10102"/>
  <c r="E62" i="10102"/>
  <c r="F62" i="10102"/>
  <c r="D63" i="10102"/>
  <c r="E63" i="10102"/>
  <c r="F63" i="10102"/>
  <c r="D64" i="10102"/>
  <c r="E64" i="10102"/>
  <c r="F64" i="10102"/>
  <c r="D65" i="10102"/>
  <c r="E65" i="10102"/>
  <c r="F65" i="10102"/>
  <c r="D66" i="10102"/>
  <c r="E66" i="10102"/>
  <c r="F66" i="10102"/>
  <c r="D67" i="10102"/>
  <c r="E67" i="10102"/>
  <c r="F67" i="10102"/>
  <c r="D68" i="10102"/>
  <c r="E68" i="10102"/>
  <c r="F68" i="10102"/>
  <c r="D69" i="10102"/>
  <c r="E69" i="10102"/>
  <c r="F69" i="10102"/>
  <c r="D70" i="10102"/>
  <c r="E70" i="10102"/>
  <c r="F70" i="10102"/>
  <c r="D71" i="10102"/>
  <c r="E71" i="10102"/>
  <c r="F71" i="10102"/>
  <c r="D72" i="10102"/>
  <c r="E72" i="10102"/>
  <c r="F72" i="10102"/>
  <c r="D73" i="10102"/>
  <c r="E73" i="10102"/>
  <c r="F73" i="10102"/>
  <c r="D74" i="10102"/>
  <c r="E74" i="10102"/>
  <c r="F74" i="10102"/>
  <c r="D75" i="10102"/>
  <c r="E75" i="10102"/>
  <c r="F75" i="10102"/>
  <c r="D76" i="10102"/>
  <c r="E76" i="10102"/>
  <c r="F76" i="10102"/>
  <c r="D77" i="10102"/>
  <c r="E77" i="10102"/>
  <c r="F77" i="10102"/>
  <c r="D78" i="10102"/>
  <c r="E78" i="10102"/>
  <c r="F78" i="10102"/>
  <c r="E79" i="10102"/>
  <c r="F79" i="10102"/>
  <c r="D80" i="10102"/>
  <c r="E80" i="10102"/>
  <c r="F80" i="10102"/>
  <c r="D81" i="10102"/>
  <c r="E81" i="10102"/>
  <c r="F81" i="10102"/>
  <c r="E82" i="10102"/>
  <c r="F82" i="10102"/>
  <c r="E83" i="10102"/>
  <c r="F83" i="10102"/>
  <c r="D84" i="10102"/>
  <c r="E84" i="10102"/>
  <c r="F84" i="10102"/>
  <c r="E85" i="10102"/>
  <c r="F85" i="10102"/>
  <c r="D86" i="10102"/>
  <c r="E86" i="10102"/>
  <c r="F86" i="10102"/>
  <c r="A88" i="10102"/>
  <c r="P11" i="10098"/>
  <c r="P12" i="10098"/>
  <c r="P13" i="10098"/>
  <c r="C14" i="10098"/>
  <c r="P14" i="10098"/>
  <c r="P15" i="10098"/>
  <c r="P16" i="10098"/>
  <c r="P17" i="10098"/>
  <c r="P18" i="10098"/>
  <c r="P19" i="10098"/>
  <c r="P20" i="10098"/>
  <c r="P21" i="10098"/>
  <c r="C22" i="10098"/>
  <c r="P22" i="10098"/>
  <c r="P23" i="10098"/>
  <c r="C24" i="10098"/>
  <c r="D24" i="10098"/>
  <c r="E24" i="10098"/>
  <c r="F24" i="10098"/>
  <c r="G24" i="10098"/>
  <c r="H24" i="10098"/>
  <c r="I24" i="10098"/>
  <c r="J24" i="10098"/>
  <c r="K24" i="10098"/>
  <c r="L24" i="10098"/>
  <c r="M24" i="10098"/>
  <c r="N24" i="10098"/>
  <c r="O24" i="10098"/>
  <c r="P24" i="10098"/>
  <c r="P25" i="10098"/>
  <c r="P26" i="10098"/>
  <c r="P27" i="10098"/>
  <c r="P28" i="10098"/>
  <c r="C29" i="10098"/>
  <c r="D29" i="10098"/>
  <c r="E29" i="10098"/>
  <c r="F29" i="10098"/>
  <c r="G29" i="10098"/>
  <c r="H29" i="10098"/>
  <c r="I29" i="10098"/>
  <c r="J29" i="10098"/>
  <c r="K29" i="10098"/>
  <c r="L29" i="10098"/>
  <c r="M29" i="10098"/>
  <c r="N29" i="10098"/>
  <c r="O29" i="10098"/>
  <c r="P29" i="10098"/>
  <c r="D33" i="10098"/>
  <c r="E33" i="10098"/>
  <c r="F33" i="10098"/>
  <c r="G33" i="10098"/>
  <c r="H33" i="10098"/>
  <c r="I33" i="10098"/>
  <c r="J33" i="10098"/>
  <c r="K33" i="10098"/>
  <c r="L33" i="10098"/>
  <c r="M33" i="10098"/>
  <c r="N33" i="10098"/>
  <c r="O33" i="10098"/>
  <c r="P33" i="10098"/>
  <c r="R33" i="10098"/>
  <c r="P34" i="10098"/>
  <c r="D35" i="10098"/>
  <c r="E35" i="10098"/>
  <c r="F35" i="10098"/>
  <c r="G35" i="10098"/>
  <c r="H35" i="10098"/>
  <c r="I35" i="10098"/>
  <c r="J35" i="10098"/>
  <c r="K35" i="10098"/>
  <c r="L35" i="10098"/>
  <c r="M35" i="10098"/>
  <c r="N35" i="10098"/>
  <c r="O35" i="10098"/>
  <c r="P35" i="10098"/>
  <c r="D36" i="10098"/>
  <c r="E36" i="10098"/>
  <c r="F36" i="10098"/>
  <c r="G36" i="10098"/>
  <c r="H36" i="10098"/>
  <c r="I36" i="10098"/>
  <c r="J36" i="10098"/>
  <c r="K36" i="10098"/>
  <c r="L36" i="10098"/>
  <c r="M36" i="10098"/>
  <c r="N36" i="10098"/>
  <c r="O36" i="10098"/>
  <c r="P36" i="10098"/>
  <c r="D37" i="10098"/>
  <c r="E37" i="10098"/>
  <c r="F37" i="10098"/>
  <c r="G37" i="10098"/>
  <c r="H37" i="10098"/>
  <c r="I37" i="10098"/>
  <c r="J37" i="10098"/>
  <c r="K37" i="10098"/>
  <c r="L37" i="10098"/>
  <c r="M37" i="10098"/>
  <c r="N37" i="10098"/>
  <c r="O37" i="10098"/>
  <c r="P37" i="10098"/>
  <c r="D38" i="10098"/>
  <c r="E38" i="10098"/>
  <c r="F38" i="10098"/>
  <c r="G38" i="10098"/>
  <c r="H38" i="10098"/>
  <c r="I38" i="10098"/>
  <c r="J38" i="10098"/>
  <c r="K38" i="10098"/>
  <c r="L38" i="10098"/>
  <c r="M38" i="10098"/>
  <c r="N38" i="10098"/>
  <c r="O38" i="10098"/>
  <c r="P38" i="10098"/>
  <c r="P39" i="10098"/>
  <c r="Q39" i="10098"/>
  <c r="D40" i="10098"/>
  <c r="E40" i="10098"/>
  <c r="F40" i="10098"/>
  <c r="G40" i="10098"/>
  <c r="H40" i="10098"/>
  <c r="I40" i="10098"/>
  <c r="J40" i="10098"/>
  <c r="K40" i="10098"/>
  <c r="L40" i="10098"/>
  <c r="M40" i="10098"/>
  <c r="N40" i="10098"/>
  <c r="O40" i="10098"/>
  <c r="P40" i="10098"/>
  <c r="Q40" i="10098"/>
  <c r="D41" i="10098"/>
  <c r="E41" i="10098"/>
  <c r="F41" i="10098"/>
  <c r="G41" i="10098"/>
  <c r="H41" i="10098"/>
  <c r="I41" i="10098"/>
  <c r="J41" i="10098"/>
  <c r="K41" i="10098"/>
  <c r="L41" i="10098"/>
  <c r="M41" i="10098"/>
  <c r="N41" i="10098"/>
  <c r="O41" i="10098"/>
  <c r="P41" i="10098"/>
  <c r="Q41" i="10098"/>
  <c r="P42" i="10098"/>
  <c r="P43" i="10098"/>
  <c r="P44" i="10098"/>
  <c r="P45" i="10098"/>
  <c r="D46" i="10098"/>
  <c r="E46" i="10098"/>
  <c r="F46" i="10098"/>
  <c r="G46" i="10098"/>
  <c r="H46" i="10098"/>
  <c r="I46" i="10098"/>
  <c r="J46" i="10098"/>
  <c r="K46" i="10098"/>
  <c r="L46" i="10098"/>
  <c r="M46" i="10098"/>
  <c r="N46" i="10098"/>
  <c r="O46" i="10098"/>
  <c r="P46" i="10098"/>
  <c r="P47" i="10098"/>
  <c r="P48" i="10098"/>
  <c r="P49" i="10098"/>
  <c r="P50" i="10098"/>
  <c r="P51" i="10098"/>
  <c r="P52" i="10098"/>
  <c r="D53" i="10098"/>
  <c r="E53" i="10098"/>
  <c r="F53" i="10098"/>
  <c r="G53" i="10098"/>
  <c r="H53" i="10098"/>
  <c r="I53" i="10098"/>
  <c r="J53" i="10098"/>
  <c r="K53" i="10098"/>
  <c r="L53" i="10098"/>
  <c r="M53" i="10098"/>
  <c r="N53" i="10098"/>
  <c r="O53" i="10098"/>
  <c r="P53" i="10098"/>
  <c r="D54" i="10098"/>
  <c r="E54" i="10098"/>
  <c r="F54" i="10098"/>
  <c r="G54" i="10098"/>
  <c r="H54" i="10098"/>
  <c r="I54" i="10098"/>
  <c r="J54" i="10098"/>
  <c r="K54" i="10098"/>
  <c r="L54" i="10098"/>
  <c r="M54" i="10098"/>
  <c r="N54" i="10098"/>
  <c r="O54" i="10098"/>
  <c r="P54" i="10098"/>
  <c r="Q54" i="10098"/>
  <c r="P55" i="10098"/>
  <c r="P56" i="10098"/>
  <c r="D57" i="10098"/>
  <c r="E57" i="10098"/>
  <c r="F57" i="10098"/>
  <c r="G57" i="10098"/>
  <c r="H57" i="10098"/>
  <c r="I57" i="10098"/>
  <c r="J57" i="10098"/>
  <c r="K57" i="10098"/>
  <c r="L57" i="10098"/>
  <c r="M57" i="10098"/>
  <c r="N57" i="10098"/>
  <c r="O57" i="10098"/>
  <c r="P57" i="10098"/>
  <c r="P58" i="10098"/>
  <c r="P59" i="10098"/>
  <c r="P60" i="10098"/>
  <c r="P61" i="10098"/>
  <c r="P62" i="10098"/>
  <c r="P63" i="10098"/>
  <c r="P64" i="10098"/>
  <c r="D65" i="10098"/>
  <c r="E65" i="10098"/>
  <c r="F65" i="10098"/>
  <c r="G65" i="10098"/>
  <c r="H65" i="10098"/>
  <c r="I65" i="10098"/>
  <c r="J65" i="10098"/>
  <c r="K65" i="10098"/>
  <c r="L65" i="10098"/>
  <c r="M65" i="10098"/>
  <c r="N65" i="10098"/>
  <c r="O65" i="10098"/>
  <c r="P65" i="10098"/>
  <c r="P66" i="10098"/>
  <c r="P67" i="10098"/>
  <c r="P68" i="10098"/>
  <c r="P69" i="10098"/>
  <c r="D70" i="10098"/>
  <c r="E70" i="10098"/>
  <c r="F70" i="10098"/>
  <c r="G70" i="10098"/>
  <c r="H70" i="10098"/>
  <c r="I70" i="10098"/>
  <c r="J70" i="10098"/>
  <c r="K70" i="10098"/>
  <c r="L70" i="10098"/>
  <c r="M70" i="10098"/>
  <c r="N70" i="10098"/>
  <c r="O70" i="10098"/>
  <c r="P70" i="10098"/>
  <c r="P71" i="10098"/>
  <c r="P72" i="10098"/>
  <c r="P73" i="10098"/>
  <c r="D74" i="10098"/>
  <c r="E74" i="10098"/>
  <c r="F74" i="10098"/>
  <c r="G74" i="10098"/>
  <c r="H74" i="10098"/>
  <c r="I74" i="10098"/>
  <c r="J74" i="10098"/>
  <c r="K74" i="10098"/>
  <c r="L74" i="10098"/>
  <c r="M74" i="10098"/>
  <c r="N74" i="10098"/>
  <c r="O74" i="10098"/>
  <c r="P74" i="10098"/>
  <c r="P75" i="10098"/>
  <c r="P76" i="10098"/>
  <c r="P77" i="10098"/>
  <c r="P78" i="10098"/>
  <c r="D79" i="10098"/>
  <c r="E79" i="10098"/>
  <c r="F79" i="10098"/>
  <c r="G79" i="10098"/>
  <c r="H79" i="10098"/>
  <c r="I79" i="10098"/>
  <c r="J79" i="10098"/>
  <c r="K79" i="10098"/>
  <c r="L79" i="10098"/>
  <c r="M79" i="10098"/>
  <c r="N79" i="10098"/>
  <c r="O79" i="10098"/>
  <c r="P79" i="10098"/>
  <c r="P80" i="10098"/>
  <c r="D81" i="10098"/>
  <c r="E81" i="10098"/>
  <c r="F81" i="10098"/>
  <c r="G81" i="10098"/>
  <c r="H81" i="10098"/>
  <c r="I81" i="10098"/>
  <c r="J81" i="10098"/>
  <c r="K81" i="10098"/>
  <c r="L81" i="10098"/>
  <c r="M81" i="10098"/>
  <c r="N81" i="10098"/>
  <c r="O81" i="10098"/>
  <c r="P81" i="10098"/>
  <c r="P82" i="10098"/>
  <c r="P83" i="10098"/>
  <c r="D84" i="10098"/>
  <c r="E84" i="10098"/>
  <c r="F84" i="10098"/>
  <c r="G84" i="10098"/>
  <c r="H84" i="10098"/>
  <c r="I84" i="10098"/>
  <c r="J84" i="10098"/>
  <c r="K84" i="10098"/>
  <c r="L84" i="10098"/>
  <c r="M84" i="10098"/>
  <c r="N84" i="10098"/>
  <c r="O84" i="10098"/>
  <c r="P84" i="10098"/>
  <c r="P85" i="10098"/>
  <c r="D86" i="10098"/>
  <c r="E86" i="10098"/>
  <c r="F86" i="10098"/>
  <c r="G86" i="10098"/>
  <c r="H86" i="10098"/>
  <c r="I86" i="10098"/>
  <c r="J86" i="10098"/>
  <c r="K86" i="10098"/>
  <c r="L86" i="10098"/>
  <c r="M86" i="10098"/>
  <c r="N86" i="10098"/>
  <c r="O86" i="10098"/>
  <c r="P86" i="10098"/>
  <c r="Q86" i="10098"/>
  <c r="A88" i="10098"/>
  <c r="C1" i="10092"/>
  <c r="C2" i="10092"/>
  <c r="C3" i="10092"/>
  <c r="A7" i="10092"/>
  <c r="C7" i="10092"/>
  <c r="D7" i="10092"/>
  <c r="E7" i="10092"/>
  <c r="F7" i="10092"/>
  <c r="G7" i="10092"/>
  <c r="H7" i="10092"/>
  <c r="I7" i="10092"/>
  <c r="J7" i="10092"/>
  <c r="K7" i="10092"/>
  <c r="L7" i="10092"/>
  <c r="M7" i="10092"/>
  <c r="N7" i="10092"/>
  <c r="O7" i="10092"/>
  <c r="A8" i="10092"/>
  <c r="C8" i="10092"/>
  <c r="D8" i="10092"/>
  <c r="E8" i="10092"/>
  <c r="F8" i="10092"/>
  <c r="G8" i="10092"/>
  <c r="H8" i="10092"/>
  <c r="I8" i="10092"/>
  <c r="J8" i="10092"/>
  <c r="K8" i="10092"/>
  <c r="L8" i="10092"/>
  <c r="M8" i="10092"/>
  <c r="N8" i="10092"/>
  <c r="O8" i="10092"/>
  <c r="A9" i="10092"/>
  <c r="C9" i="10092"/>
  <c r="D9" i="10092"/>
  <c r="E9" i="10092"/>
  <c r="F9" i="10092"/>
  <c r="G9" i="10092"/>
  <c r="H9" i="10092"/>
  <c r="I9" i="10092"/>
  <c r="J9" i="10092"/>
  <c r="K9" i="10092"/>
  <c r="L9" i="10092"/>
  <c r="M9" i="10092"/>
  <c r="N9" i="10092"/>
  <c r="O9" i="10092"/>
  <c r="A10" i="10092"/>
  <c r="C10" i="10092"/>
  <c r="D10" i="10092"/>
  <c r="E10" i="10092"/>
  <c r="F10" i="10092"/>
  <c r="G10" i="10092"/>
  <c r="H10" i="10092"/>
  <c r="I10" i="10092"/>
  <c r="J10" i="10092"/>
  <c r="K10" i="10092"/>
  <c r="L10" i="10092"/>
  <c r="M10" i="10092"/>
  <c r="N10" i="10092"/>
  <c r="O10" i="10092"/>
  <c r="A11" i="10092"/>
  <c r="C11" i="10092"/>
  <c r="D11" i="10092"/>
  <c r="E11" i="10092"/>
  <c r="F11" i="10092"/>
  <c r="G11" i="10092"/>
  <c r="H11" i="10092"/>
  <c r="I11" i="10092"/>
  <c r="J11" i="10092"/>
  <c r="K11" i="10092"/>
  <c r="L11" i="10092"/>
  <c r="M11" i="10092"/>
  <c r="N11" i="10092"/>
  <c r="O11" i="10092"/>
  <c r="A12" i="10092"/>
  <c r="C12" i="10092"/>
  <c r="D12" i="10092"/>
  <c r="E12" i="10092"/>
  <c r="F12" i="10092"/>
  <c r="G12" i="10092"/>
  <c r="H12" i="10092"/>
  <c r="I12" i="10092"/>
  <c r="J12" i="10092"/>
  <c r="K12" i="10092"/>
  <c r="L12" i="10092"/>
  <c r="M12" i="10092"/>
  <c r="N12" i="10092"/>
  <c r="O12" i="10092"/>
  <c r="A13" i="10092"/>
  <c r="C13" i="10092"/>
  <c r="D13" i="10092"/>
  <c r="E13" i="10092"/>
  <c r="F13" i="10092"/>
  <c r="G13" i="10092"/>
  <c r="H13" i="10092"/>
  <c r="I13" i="10092"/>
  <c r="J13" i="10092"/>
  <c r="K13" i="10092"/>
  <c r="L13" i="10092"/>
  <c r="M13" i="10092"/>
  <c r="N13" i="10092"/>
  <c r="O13" i="10092"/>
  <c r="A14" i="10092"/>
  <c r="C14" i="10092"/>
  <c r="D14" i="10092"/>
  <c r="E14" i="10092"/>
  <c r="F14" i="10092"/>
  <c r="G14" i="10092"/>
  <c r="H14" i="10092"/>
  <c r="I14" i="10092"/>
  <c r="J14" i="10092"/>
  <c r="K14" i="10092"/>
  <c r="L14" i="10092"/>
  <c r="M14" i="10092"/>
  <c r="N14" i="10092"/>
  <c r="O14" i="10092"/>
  <c r="A15" i="10092"/>
  <c r="C15" i="10092"/>
  <c r="D15" i="10092"/>
  <c r="E15" i="10092"/>
  <c r="F15" i="10092"/>
  <c r="G15" i="10092"/>
  <c r="H15" i="10092"/>
  <c r="I15" i="10092"/>
  <c r="J15" i="10092"/>
  <c r="K15" i="10092"/>
  <c r="L15" i="10092"/>
  <c r="M15" i="10092"/>
  <c r="N15" i="10092"/>
  <c r="O15" i="10092"/>
  <c r="A16" i="10092"/>
  <c r="C16" i="10092"/>
  <c r="D16" i="10092"/>
  <c r="E16" i="10092"/>
  <c r="F16" i="10092"/>
  <c r="G16" i="10092"/>
  <c r="H16" i="10092"/>
  <c r="I16" i="10092"/>
  <c r="J16" i="10092"/>
  <c r="K16" i="10092"/>
  <c r="L16" i="10092"/>
  <c r="M16" i="10092"/>
  <c r="N16" i="10092"/>
  <c r="O16" i="10092"/>
  <c r="A17" i="10092"/>
  <c r="C17" i="10092"/>
  <c r="D17" i="10092"/>
  <c r="E17" i="10092"/>
  <c r="F17" i="10092"/>
  <c r="G17" i="10092"/>
  <c r="H17" i="10092"/>
  <c r="I17" i="10092"/>
  <c r="J17" i="10092"/>
  <c r="K17" i="10092"/>
  <c r="L17" i="10092"/>
  <c r="M17" i="10092"/>
  <c r="N17" i="10092"/>
  <c r="O17" i="10092"/>
  <c r="A18" i="10092"/>
  <c r="C18" i="10092"/>
  <c r="D18" i="10092"/>
  <c r="E18" i="10092"/>
  <c r="F18" i="10092"/>
  <c r="G18" i="10092"/>
  <c r="H18" i="10092"/>
  <c r="I18" i="10092"/>
  <c r="J18" i="10092"/>
  <c r="K18" i="10092"/>
  <c r="L18" i="10092"/>
  <c r="M18" i="10092"/>
  <c r="N18" i="10092"/>
  <c r="O18" i="10092"/>
  <c r="A19" i="10092"/>
  <c r="C19" i="10092"/>
  <c r="D19" i="10092"/>
  <c r="E19" i="10092"/>
  <c r="F19" i="10092"/>
  <c r="G19" i="10092"/>
  <c r="H19" i="10092"/>
  <c r="I19" i="10092"/>
  <c r="J19" i="10092"/>
  <c r="K19" i="10092"/>
  <c r="L19" i="10092"/>
  <c r="M19" i="10092"/>
  <c r="N19" i="10092"/>
  <c r="O19" i="10092"/>
  <c r="A20" i="10092"/>
  <c r="C20" i="10092"/>
  <c r="D20" i="10092"/>
  <c r="E20" i="10092"/>
  <c r="F20" i="10092"/>
  <c r="G20" i="10092"/>
  <c r="H20" i="10092"/>
  <c r="I20" i="10092"/>
  <c r="J20" i="10092"/>
  <c r="K20" i="10092"/>
  <c r="L20" i="10092"/>
  <c r="M20" i="10092"/>
  <c r="N20" i="10092"/>
  <c r="O20" i="10092"/>
  <c r="A21" i="10092"/>
  <c r="C21" i="10092"/>
  <c r="D21" i="10092"/>
  <c r="E21" i="10092"/>
  <c r="F21" i="10092"/>
  <c r="G21" i="10092"/>
  <c r="H21" i="10092"/>
  <c r="I21" i="10092"/>
  <c r="J21" i="10092"/>
  <c r="K21" i="10092"/>
  <c r="L21" i="10092"/>
  <c r="M21" i="10092"/>
  <c r="N21" i="10092"/>
  <c r="O21" i="10092"/>
  <c r="A22" i="10092"/>
  <c r="C22" i="10092"/>
  <c r="D22" i="10092"/>
  <c r="E22" i="10092"/>
  <c r="F22" i="10092"/>
  <c r="G22" i="10092"/>
  <c r="H22" i="10092"/>
  <c r="I22" i="10092"/>
  <c r="J22" i="10092"/>
  <c r="K22" i="10092"/>
  <c r="L22" i="10092"/>
  <c r="M22" i="10092"/>
  <c r="N22" i="10092"/>
  <c r="O22" i="10092"/>
  <c r="A23" i="10092"/>
  <c r="C23" i="10092"/>
  <c r="D23" i="10092"/>
  <c r="E23" i="10092"/>
  <c r="F23" i="10092"/>
  <c r="G23" i="10092"/>
  <c r="H23" i="10092"/>
  <c r="I23" i="10092"/>
  <c r="J23" i="10092"/>
  <c r="K23" i="10092"/>
  <c r="L23" i="10092"/>
  <c r="M23" i="10092"/>
  <c r="N23" i="10092"/>
  <c r="O23" i="10092"/>
  <c r="A24" i="10092"/>
  <c r="C24" i="10092"/>
  <c r="D24" i="10092"/>
  <c r="E24" i="10092"/>
  <c r="F24" i="10092"/>
  <c r="G24" i="10092"/>
  <c r="H24" i="10092"/>
  <c r="I24" i="10092"/>
  <c r="J24" i="10092"/>
  <c r="K24" i="10092"/>
  <c r="L24" i="10092"/>
  <c r="M24" i="10092"/>
  <c r="N24" i="10092"/>
  <c r="O24" i="10092"/>
  <c r="A25" i="10092"/>
  <c r="C25" i="10092"/>
  <c r="D25" i="10092"/>
  <c r="E25" i="10092"/>
  <c r="F25" i="10092"/>
  <c r="G25" i="10092"/>
  <c r="H25" i="10092"/>
  <c r="I25" i="10092"/>
  <c r="J25" i="10092"/>
  <c r="K25" i="10092"/>
  <c r="L25" i="10092"/>
  <c r="M25" i="10092"/>
  <c r="N25" i="10092"/>
  <c r="O25" i="10092"/>
  <c r="A26" i="10092"/>
  <c r="C26" i="10092"/>
  <c r="D26" i="10092"/>
  <c r="E26" i="10092"/>
  <c r="F26" i="10092"/>
  <c r="G26" i="10092"/>
  <c r="H26" i="10092"/>
  <c r="I26" i="10092"/>
  <c r="J26" i="10092"/>
  <c r="K26" i="10092"/>
  <c r="L26" i="10092"/>
  <c r="M26" i="10092"/>
  <c r="N26" i="10092"/>
  <c r="O26" i="10092"/>
  <c r="A27" i="10092"/>
  <c r="C27" i="10092"/>
  <c r="D27" i="10092"/>
  <c r="E27" i="10092"/>
  <c r="F27" i="10092"/>
  <c r="G27" i="10092"/>
  <c r="H27" i="10092"/>
  <c r="I27" i="10092"/>
  <c r="J27" i="10092"/>
  <c r="K27" i="10092"/>
  <c r="L27" i="10092"/>
  <c r="M27" i="10092"/>
  <c r="N27" i="10092"/>
  <c r="O27" i="10092"/>
  <c r="A28" i="10092"/>
  <c r="C28" i="10092"/>
  <c r="D28" i="10092"/>
  <c r="E28" i="10092"/>
  <c r="F28" i="10092"/>
  <c r="G28" i="10092"/>
  <c r="H28" i="10092"/>
  <c r="I28" i="10092"/>
  <c r="J28" i="10092"/>
  <c r="K28" i="10092"/>
  <c r="L28" i="10092"/>
  <c r="M28" i="10092"/>
  <c r="N28" i="10092"/>
  <c r="O28" i="10092"/>
  <c r="A29" i="10092"/>
  <c r="C29" i="10092"/>
  <c r="D29" i="10092"/>
  <c r="E29" i="10092"/>
  <c r="F29" i="10092"/>
  <c r="G29" i="10092"/>
  <c r="H29" i="10092"/>
  <c r="I29" i="10092"/>
  <c r="J29" i="10092"/>
  <c r="K29" i="10092"/>
  <c r="L29" i="10092"/>
  <c r="M29" i="10092"/>
  <c r="N29" i="10092"/>
  <c r="O29" i="10092"/>
  <c r="A30" i="10092"/>
  <c r="C30" i="10092"/>
  <c r="D30" i="10092"/>
  <c r="E30" i="10092"/>
  <c r="F30" i="10092"/>
  <c r="G30" i="10092"/>
  <c r="H30" i="10092"/>
  <c r="I30" i="10092"/>
  <c r="J30" i="10092"/>
  <c r="K30" i="10092"/>
  <c r="L30" i="10092"/>
  <c r="M30" i="10092"/>
  <c r="N30" i="10092"/>
  <c r="O30" i="10092"/>
  <c r="A31" i="10092"/>
  <c r="C31" i="10092"/>
  <c r="D31" i="10092"/>
  <c r="E31" i="10092"/>
  <c r="F31" i="10092"/>
  <c r="G31" i="10092"/>
  <c r="H31" i="10092"/>
  <c r="I31" i="10092"/>
  <c r="J31" i="10092"/>
  <c r="K31" i="10092"/>
  <c r="L31" i="10092"/>
  <c r="M31" i="10092"/>
  <c r="N31" i="10092"/>
  <c r="O31" i="10092"/>
  <c r="A32" i="10092"/>
  <c r="C32" i="10092"/>
  <c r="D32" i="10092"/>
  <c r="E32" i="10092"/>
  <c r="F32" i="10092"/>
  <c r="G32" i="10092"/>
  <c r="H32" i="10092"/>
  <c r="I32" i="10092"/>
  <c r="J32" i="10092"/>
  <c r="K32" i="10092"/>
  <c r="L32" i="10092"/>
  <c r="M32" i="10092"/>
  <c r="N32" i="10092"/>
  <c r="O32" i="10092"/>
  <c r="A33" i="10092"/>
  <c r="C33" i="10092"/>
  <c r="D33" i="10092"/>
  <c r="E33" i="10092"/>
  <c r="F33" i="10092"/>
  <c r="G33" i="10092"/>
  <c r="H33" i="10092"/>
  <c r="I33" i="10092"/>
  <c r="J33" i="10092"/>
  <c r="K33" i="10092"/>
  <c r="L33" i="10092"/>
  <c r="M33" i="10092"/>
  <c r="N33" i="10092"/>
  <c r="O33" i="10092"/>
  <c r="A34" i="10092"/>
  <c r="C34" i="10092"/>
  <c r="D34" i="10092"/>
  <c r="E34" i="10092"/>
  <c r="F34" i="10092"/>
  <c r="G34" i="10092"/>
  <c r="H34" i="10092"/>
  <c r="I34" i="10092"/>
  <c r="J34" i="10092"/>
  <c r="K34" i="10092"/>
  <c r="L34" i="10092"/>
  <c r="M34" i="10092"/>
  <c r="N34" i="10092"/>
  <c r="O34" i="10092"/>
  <c r="A35" i="10092"/>
  <c r="C35" i="10092"/>
  <c r="D35" i="10092"/>
  <c r="E35" i="10092"/>
  <c r="F35" i="10092"/>
  <c r="G35" i="10092"/>
  <c r="H35" i="10092"/>
  <c r="I35" i="10092"/>
  <c r="J35" i="10092"/>
  <c r="K35" i="10092"/>
  <c r="L35" i="10092"/>
  <c r="M35" i="10092"/>
  <c r="N35" i="10092"/>
  <c r="O35" i="10092"/>
  <c r="A36" i="10092"/>
  <c r="C36" i="10092"/>
  <c r="D36" i="10092"/>
  <c r="E36" i="10092"/>
  <c r="F36" i="10092"/>
  <c r="G36" i="10092"/>
  <c r="H36" i="10092"/>
  <c r="I36" i="10092"/>
  <c r="J36" i="10092"/>
  <c r="K36" i="10092"/>
  <c r="L36" i="10092"/>
  <c r="M36" i="10092"/>
  <c r="N36" i="10092"/>
  <c r="O36" i="10092"/>
  <c r="C38" i="10092"/>
  <c r="D38" i="10092"/>
  <c r="E38" i="10092"/>
  <c r="F38" i="10092"/>
  <c r="G38" i="10092"/>
  <c r="H38" i="10092"/>
  <c r="I38" i="10092"/>
  <c r="J38" i="10092"/>
  <c r="K38" i="10092"/>
  <c r="L38" i="10092"/>
  <c r="M38" i="10092"/>
  <c r="N38" i="10092"/>
  <c r="O38" i="10092"/>
  <c r="O39" i="10092"/>
</calcChain>
</file>

<file path=xl/comments1.xml><?xml version="1.0" encoding="utf-8"?>
<comments xmlns="http://schemas.openxmlformats.org/spreadsheetml/2006/main">
  <authors>
    <author>Becky Pham</author>
  </authors>
  <commentList>
    <comment ref="P19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updated %'age changed 5/2k per Monica Reasoner information received 5/16</t>
        </r>
      </text>
    </comment>
    <comment ref="Z31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plus or minus diff from plan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comments3.xml><?xml version="1.0" encoding="utf-8"?>
<comments xmlns="http://schemas.openxmlformats.org/spreadsheetml/2006/main">
  <authors>
    <author>Becky Pham</author>
  </authors>
  <commentList>
    <comment ref="K68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34851.44 master
23746.08 dove hunt</t>
        </r>
      </text>
    </comment>
  </commentList>
</comments>
</file>

<file path=xl/sharedStrings.xml><?xml version="1.0" encoding="utf-8"?>
<sst xmlns="http://schemas.openxmlformats.org/spreadsheetml/2006/main" count="1035" uniqueCount="395">
  <si>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</si>
  <si>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</si>
  <si>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</si>
  <si>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</si>
  <si>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</si>
  <si>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</si>
  <si>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</si>
  <si>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</si>
  <si>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</si>
  <si>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</si>
  <si>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</si>
  <si>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</si>
  <si>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</si>
  <si>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</si>
  <si>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</si>
  <si>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</si>
  <si>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</si>
  <si>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</si>
  <si>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</si>
  <si>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</si>
  <si>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</si>
  <si>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</si>
  <si>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</si>
  <si>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</si>
  <si>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</si>
  <si>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</si>
  <si>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</si>
  <si>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</si>
  <si>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</si>
  <si>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</si>
  <si>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</si>
  <si>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</si>
  <si>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</si>
  <si>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</si>
  <si>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</si>
  <si>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</si>
  <si>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</si>
  <si>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</si>
  <si>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</si>
  <si>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</si>
  <si>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</si>
  <si>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</si>
  <si>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</si>
  <si>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</si>
  <si>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</si>
  <si>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</si>
  <si>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</si>
  <si>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</si>
  <si>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</si>
  <si>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</si>
  <si>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</si>
  <si>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</si>
  <si>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</si>
  <si>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</si>
  <si>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</si>
  <si>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</si>
  <si>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</si>
  <si>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</si>
  <si>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</si>
  <si>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</si>
  <si>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</si>
  <si>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</si>
  <si>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</si>
  <si>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</si>
  <si>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</si>
  <si>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</si>
  <si>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</si>
  <si>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</si>
  <si>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</si>
  <si>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</si>
  <si>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</si>
  <si>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</si>
  <si>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</si>
  <si>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</si>
  <si>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</si>
  <si>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</si>
  <si>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</si>
  <si>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</si>
  <si>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</si>
  <si>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</si>
  <si>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</si>
  <si>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</si>
  <si>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</si>
  <si>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</si>
  <si>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</si>
  <si>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</si>
  <si>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</si>
  <si>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</si>
  <si>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</si>
  <si>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</si>
  <si>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</si>
  <si>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</si>
  <si>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</si>
  <si>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</si>
  <si>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</si>
  <si>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</si>
  <si>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</si>
  <si>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</si>
  <si>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</si>
  <si>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</si>
  <si>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</si>
  <si>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</si>
  <si>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</si>
  <si>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</si>
  <si>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</si>
  <si>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</si>
  <si>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Interns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</si>
  <si>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</si>
  <si>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</si>
  <si>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</si>
  <si>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</si>
  <si>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</si>
  <si>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</si>
  <si>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</si>
  <si>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</si>
  <si>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</si>
  <si>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</si>
  <si>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</si>
  <si>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</si>
  <si>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</si>
  <si>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</si>
  <si>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</si>
  <si>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</si>
  <si>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Additional tax rate for budgeted base salaries greater than annual FICA base earnings level</t>
  </si>
  <si>
    <t>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</si>
  <si>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</si>
  <si>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E-mail to Trey Hardy (5-7172)</t>
  </si>
  <si>
    <t>Analyst &amp; Associate**</t>
  </si>
  <si>
    <t>**Analyst and Associate data will need to be input into the template.  The taxes and benefits are formulas.</t>
  </si>
  <si>
    <t>Analyst Salary to be added to salary line.(per headcount)</t>
  </si>
  <si>
    <t>Associate Salary to be added to salary line.(per headcount)</t>
  </si>
  <si>
    <t>Analyst Overhead to be planned in A&amp;A Allocation line.(per headcount)</t>
  </si>
  <si>
    <t>Associate Overhead to be planned in A&amp;A Allocation line.(per headcount)</t>
  </si>
  <si>
    <t>Forecast</t>
  </si>
  <si>
    <t>Budget</t>
  </si>
  <si>
    <t>Intercompany headcount</t>
  </si>
  <si>
    <t>DEPARTMENT:</t>
  </si>
  <si>
    <t>Aug hdct</t>
  </si>
  <si>
    <t>01 Budget</t>
  </si>
  <si>
    <t>00 Budget</t>
  </si>
  <si>
    <r>
      <t>2 0 0 1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2 0 0 0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</si>
  <si>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r>
      <t>2 0 0 1   P</t>
    </r>
    <r>
      <rPr>
        <b/>
        <sz val="18"/>
        <color indexed="8"/>
        <rFont val="Arial"/>
        <family val="2"/>
      </rPr>
      <t xml:space="preserve"> L A N vs 2 0 0 1 </t>
    </r>
    <r>
      <rPr>
        <b/>
        <sz val="22"/>
        <color indexed="8"/>
        <rFont val="Arial"/>
        <family val="2"/>
      </rPr>
      <t xml:space="preserve"> F</t>
    </r>
    <r>
      <rPr>
        <b/>
        <sz val="18"/>
        <color indexed="8"/>
        <rFont val="Arial"/>
        <family val="2"/>
      </rPr>
      <t xml:space="preserve"> O R E C A S T</t>
    </r>
  </si>
  <si>
    <t>COMPANY NUMBER:</t>
  </si>
  <si>
    <t>HYPERION ENTITY:</t>
  </si>
  <si>
    <t>4131275.TOTAL</t>
  </si>
  <si>
    <t>R/C NUMBER:</t>
  </si>
  <si>
    <t>1275</t>
  </si>
  <si>
    <t>HYPERION CATEGORY:</t>
  </si>
  <si>
    <t>ACTUAL</t>
  </si>
  <si>
    <t>PLAN2000</t>
  </si>
  <si>
    <t>R/C NAME:</t>
  </si>
  <si>
    <t>Public Relations</t>
  </si>
  <si>
    <t>HYPERION FREQUENCY:</t>
  </si>
  <si>
    <t>M.PER</t>
  </si>
  <si>
    <t>R/C OWNER:</t>
  </si>
  <si>
    <t>HYPERION APPLICATION:</t>
  </si>
  <si>
    <t>ena</t>
  </si>
  <si>
    <t>EXECUTIVE</t>
  </si>
  <si>
    <t xml:space="preserve">    Executive</t>
  </si>
  <si>
    <t>DIRECTOR</t>
  </si>
  <si>
    <t xml:space="preserve">    Director</t>
  </si>
  <si>
    <t>MANAGER</t>
  </si>
  <si>
    <t xml:space="preserve">    Manager</t>
  </si>
  <si>
    <t>EXECUTIVE_NC</t>
  </si>
  <si>
    <t xml:space="preserve">    Non-Commercial Executive</t>
  </si>
  <si>
    <t>DIRECTOR_NC</t>
  </si>
  <si>
    <t xml:space="preserve">    Non-Commercial Director</t>
  </si>
  <si>
    <t>MANAGER_NC</t>
  </si>
  <si>
    <t xml:space="preserve">    Non-Commercial Manager</t>
  </si>
  <si>
    <t>ASSOCHC</t>
  </si>
  <si>
    <t xml:space="preserve">    Associates</t>
  </si>
  <si>
    <t>ALYSTHC</t>
  </si>
  <si>
    <t xml:space="preserve">    Analysts</t>
  </si>
  <si>
    <t>OTHER_HC</t>
  </si>
  <si>
    <t xml:space="preserve">    Other Commercial</t>
  </si>
  <si>
    <t>OTHER_NC_HC</t>
  </si>
  <si>
    <t xml:space="preserve">    Other Non Commercial</t>
  </si>
  <si>
    <t>ADMIN_ASST</t>
  </si>
  <si>
    <t xml:space="preserve">   Administrative Asst.</t>
  </si>
  <si>
    <t>Subtotal Employee Headcount</t>
  </si>
  <si>
    <t>CONTHC</t>
  </si>
  <si>
    <t xml:space="preserve">    Contractors</t>
  </si>
  <si>
    <t>Actual</t>
  </si>
  <si>
    <t>Plan</t>
  </si>
  <si>
    <t>HYPERION  ACCT</t>
  </si>
  <si>
    <t>Total</t>
  </si>
  <si>
    <t>9200999001.000000</t>
  </si>
  <si>
    <t>9200999047.000000</t>
  </si>
  <si>
    <t>9260999552.000000</t>
  </si>
  <si>
    <t>4081500557.000000</t>
  </si>
  <si>
    <t>4081510557.000000</t>
  </si>
  <si>
    <t>9260999551.000000</t>
  </si>
  <si>
    <t>4081520557.000000</t>
  </si>
  <si>
    <t>9210999052.000000</t>
  </si>
  <si>
    <t>9210999054.000000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</si>
  <si>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</si>
  <si>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</si>
  <si>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</si>
  <si>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</si>
  <si>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</si>
  <si>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</si>
  <si>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</si>
  <si>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</si>
  <si>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</si>
  <si>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</si>
  <si>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</si>
  <si>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</si>
  <si>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</si>
  <si>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9230999204.000000</t>
  </si>
  <si>
    <t>9230999206.000000</t>
  </si>
  <si>
    <t>9230999247.000000</t>
  </si>
  <si>
    <t>9230999801.000000</t>
  </si>
  <si>
    <t>9230999647.000000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</si>
  <si>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</si>
  <si>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</si>
  <si>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</si>
  <si>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</si>
  <si>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</si>
  <si>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</si>
  <si>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</si>
  <si>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</si>
  <si>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</si>
  <si>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</si>
  <si>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</si>
  <si>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</si>
  <si>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</si>
  <si>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</si>
  <si>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9210999174.000000</t>
  </si>
  <si>
    <t>9210999604.000000</t>
  </si>
  <si>
    <t>9210999601.000000</t>
  </si>
  <si>
    <t>9210999109.000000</t>
  </si>
  <si>
    <t>9230999845.000000</t>
  </si>
  <si>
    <t>9230999810.000000</t>
  </si>
  <si>
    <t>9210999252.000000</t>
  </si>
  <si>
    <t>9230999820</t>
  </si>
  <si>
    <t>9302999.000000</t>
  </si>
  <si>
    <t>4030100.000000</t>
  </si>
  <si>
    <t>4040410.000000</t>
  </si>
  <si>
    <t>Subtotal Depreciation &amp; Amortization</t>
  </si>
  <si>
    <r>
      <t xml:space="preserve">2 0 0 0   </t>
    </r>
    <r>
      <rPr>
        <b/>
        <sz val="24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 vs</t>
    </r>
    <r>
      <rPr>
        <b/>
        <sz val="22"/>
        <color indexed="8"/>
        <rFont val="Arial"/>
        <family val="2"/>
      </rPr>
      <t xml:space="preserve"> 2 0 0 0</t>
    </r>
    <r>
      <rPr>
        <b/>
        <sz val="18"/>
        <color indexed="8"/>
        <rFont val="Arial"/>
        <family val="2"/>
      </rPr>
      <t xml:space="preserve"> </t>
    </r>
    <r>
      <rPr>
        <b/>
        <sz val="22"/>
        <color indexed="8"/>
        <rFont val="Arial"/>
        <family val="2"/>
      </rPr>
      <t xml:space="preserve"> </t>
    </r>
    <r>
      <rPr>
        <b/>
        <sz val="24"/>
        <color indexed="8"/>
        <rFont val="Arial"/>
        <family val="2"/>
      </rPr>
      <t>F</t>
    </r>
    <r>
      <rPr>
        <b/>
        <sz val="18"/>
        <color indexed="8"/>
        <rFont val="Arial"/>
        <family val="2"/>
      </rPr>
      <t xml:space="preserve"> O R E C A S T</t>
    </r>
  </si>
  <si>
    <t>3rd year Analyst</t>
  </si>
  <si>
    <t>413</t>
  </si>
  <si>
    <t>Due Date:</t>
  </si>
  <si>
    <t>Support Depts. 9/1/99 - Commercial Teams 10/1/99</t>
  </si>
  <si>
    <t>E-Mail to Sayed Khoja</t>
  </si>
  <si>
    <t>Research</t>
  </si>
  <si>
    <t>Vince Kaminski</t>
  </si>
  <si>
    <t xml:space="preserve">  Commercial Executive</t>
  </si>
  <si>
    <t xml:space="preserve">  Commercial Director</t>
  </si>
  <si>
    <t xml:space="preserve">  Commercial Manager</t>
  </si>
  <si>
    <t xml:space="preserve">  Non-Commercial Executive</t>
  </si>
  <si>
    <t xml:space="preserve">  Non-Commercial Director</t>
  </si>
  <si>
    <t xml:space="preserve">  Non-Commercial Manager</t>
  </si>
  <si>
    <t xml:space="preserve">  Associates</t>
  </si>
  <si>
    <t xml:space="preserve">  Analysts</t>
  </si>
  <si>
    <t xml:space="preserve">  Other Commercial</t>
  </si>
  <si>
    <t xml:space="preserve">  Other Non Commercial</t>
  </si>
  <si>
    <t xml:space="preserve">  Administrative Asst.</t>
  </si>
  <si>
    <t xml:space="preserve">  Contractors</t>
  </si>
  <si>
    <t>Assets reallocation</t>
  </si>
  <si>
    <t>Canada diff:</t>
  </si>
  <si>
    <t>percent per team</t>
  </si>
  <si>
    <t>alloc to all teams RC0674</t>
  </si>
  <si>
    <t>Upstream/Rk Mt reallocation</t>
  </si>
  <si>
    <t>Midstream IPP Origination</t>
  </si>
  <si>
    <t>ENRON NORTH AMERICA</t>
  </si>
  <si>
    <t>0258-Resource Eval/Eng</t>
  </si>
  <si>
    <t>0826-Research</t>
  </si>
  <si>
    <t>1128-Global Credit</t>
  </si>
  <si>
    <t>1129-Due Dilig/Asset Mgmt</t>
  </si>
  <si>
    <t>1130-Risk Analytics</t>
  </si>
  <si>
    <t>1131 - Underwriting</t>
  </si>
  <si>
    <t>1281 - Mkt Risk Mgmt Cntrl</t>
  </si>
  <si>
    <t>0674 - Compliance</t>
  </si>
  <si>
    <t>Method:</t>
  </si>
  <si>
    <t>Direct %</t>
  </si>
  <si>
    <t>Avg % of all Rac depts</t>
  </si>
  <si>
    <t>TOTAL</t>
  </si>
  <si>
    <t>hdct</t>
  </si>
  <si>
    <t>%</t>
  </si>
  <si>
    <t>Amount</t>
  </si>
  <si>
    <t>EN_STOR_DEV</t>
  </si>
  <si>
    <t>Assets Enron Storage Development</t>
  </si>
  <si>
    <t>ENRON_OFFSHORE_SVCS</t>
  </si>
  <si>
    <t>Assets Enron Offshore Services</t>
  </si>
  <si>
    <t>ENRON_POWER_TRANS</t>
  </si>
  <si>
    <t>Assets Enron Power Transmission</t>
  </si>
  <si>
    <t>EXECUTIVE_ASSETS</t>
  </si>
  <si>
    <t>Assets Executive</t>
  </si>
  <si>
    <t>GAS_NETWORK_ENG</t>
  </si>
  <si>
    <t>Assets Gas Network Engineering</t>
  </si>
  <si>
    <t>GAS_NETWORK_OPS</t>
  </si>
  <si>
    <t>Assets Gas Network Operations</t>
  </si>
  <si>
    <t>GAS_NETWORK_SERVICES</t>
  </si>
  <si>
    <t>Assets Gas Network Services</t>
  </si>
  <si>
    <t>GAS_NETWORK_DEVLP</t>
  </si>
  <si>
    <t>Assets Network Development</t>
  </si>
  <si>
    <t>ROCKY_MNT_ASSET_ORIG</t>
  </si>
  <si>
    <t>Assets Rocky Mountain Gas</t>
  </si>
  <si>
    <t>ASST_TRD</t>
  </si>
  <si>
    <t>Assets Trading</t>
  </si>
  <si>
    <t>GAS_NETWORK_TRADING</t>
  </si>
  <si>
    <t>Assets Transportation</t>
  </si>
  <si>
    <t>Canada Finance</t>
  </si>
  <si>
    <t>CANADA</t>
  </si>
  <si>
    <t>Canada Trading</t>
  </si>
  <si>
    <t>CLEAN_ENG</t>
  </si>
  <si>
    <t>Clean Energy Solutions</t>
  </si>
  <si>
    <t>COAL</t>
  </si>
  <si>
    <t>Coal</t>
  </si>
  <si>
    <t>CRED_SPREAD</t>
  </si>
  <si>
    <t>Credit Spread Trading</t>
  </si>
  <si>
    <t>INT_SERV</t>
  </si>
  <si>
    <t>CTG</t>
  </si>
  <si>
    <t>DWNSTRM_IND_ORIG</t>
  </si>
  <si>
    <t>Downstream Industrial Originations</t>
  </si>
  <si>
    <t>E_ORG</t>
  </si>
  <si>
    <t>East Midstream Origination</t>
  </si>
  <si>
    <t>E_PWR_TR</t>
  </si>
  <si>
    <t>East Power Trading</t>
  </si>
  <si>
    <t>ENVR_ENGY</t>
  </si>
  <si>
    <t>Environmental Energy</t>
  </si>
  <si>
    <t>ECT_EQU_TRD</t>
  </si>
  <si>
    <t>Equity Trading</t>
  </si>
  <si>
    <t>EXEC_ORIG</t>
  </si>
  <si>
    <t>Executive Originations</t>
  </si>
  <si>
    <t>EXEC_TRD</t>
  </si>
  <si>
    <t>Executive Trading</t>
  </si>
  <si>
    <t>EQUITY</t>
  </si>
  <si>
    <t>Financial Origination</t>
  </si>
  <si>
    <t>GENCOS</t>
  </si>
  <si>
    <t>Genco</t>
  </si>
  <si>
    <t>GROUP</t>
  </si>
  <si>
    <t>Group</t>
  </si>
  <si>
    <t>PORTFOLIO_MGT</t>
  </si>
  <si>
    <t>Insurance - Porfolio Management</t>
  </si>
  <si>
    <t>RISK_PRODUCTS</t>
  </si>
  <si>
    <t>Insurance - Risk Products</t>
  </si>
  <si>
    <t>RISK_MGT</t>
  </si>
  <si>
    <t>IR_FX</t>
  </si>
  <si>
    <t xml:space="preserve">Interest Rate/Foreign Exchange </t>
  </si>
  <si>
    <t>FINANCIAL_GT</t>
  </si>
  <si>
    <t>Long-term gas trading</t>
  </si>
  <si>
    <t>MEXICO</t>
  </si>
  <si>
    <t>Mexico</t>
  </si>
  <si>
    <t>MDSTRM_IPP_ORIG</t>
  </si>
  <si>
    <t>N_BS_DEV</t>
  </si>
  <si>
    <t xml:space="preserve">New Business Development </t>
  </si>
  <si>
    <t>OF_CHAIR</t>
  </si>
  <si>
    <t>Office of Chairman</t>
  </si>
  <si>
    <t>PAPER</t>
  </si>
  <si>
    <t>Pulp &amp; Paper</t>
  </si>
  <si>
    <t>RESTRUCTURING</t>
  </si>
  <si>
    <t>Restructuring</t>
  </si>
  <si>
    <t>HOUSTON</t>
  </si>
  <si>
    <t>Risk Management (Middle Mkt) - Hou</t>
  </si>
  <si>
    <t>NEW_YORK</t>
  </si>
  <si>
    <t>Risk Management (Middle Mkt) - NY</t>
  </si>
  <si>
    <t>CENTRAL_GT</t>
  </si>
  <si>
    <t>Short-term gas trading - Central</t>
  </si>
  <si>
    <t>EAST_GT</t>
  </si>
  <si>
    <t>Short-term gas trading - East</t>
  </si>
  <si>
    <t>TEXAS</t>
  </si>
  <si>
    <t>Short-term gas trading - Texas</t>
  </si>
  <si>
    <t>WEST_GT</t>
  </si>
  <si>
    <t>Short-term gas trading - West</t>
  </si>
  <si>
    <t>SO2</t>
  </si>
  <si>
    <t>PROD_FIN</t>
  </si>
  <si>
    <t>Upstream Origination</t>
  </si>
  <si>
    <t>WEATHER</t>
  </si>
  <si>
    <t>Weather Derivatives</t>
  </si>
  <si>
    <t>W_ORIG</t>
  </si>
  <si>
    <t>West Midstream Origination</t>
  </si>
  <si>
    <t>W_PWR_TR</t>
  </si>
  <si>
    <t>West Power Trading</t>
  </si>
  <si>
    <t>ckpt</t>
  </si>
  <si>
    <t>RESEARCH ALLOCATION</t>
  </si>
  <si>
    <t>Old %</t>
  </si>
  <si>
    <t>New %</t>
  </si>
  <si>
    <t>GRM</t>
  </si>
  <si>
    <t>EIM (Enron Industrial Market)</t>
  </si>
  <si>
    <t>was GRM now EGM (Enron Global Markets)</t>
  </si>
  <si>
    <t>EIM (Enron Industrial Markets)</t>
  </si>
  <si>
    <t>EGM (Enron Global Markets)</t>
  </si>
  <si>
    <t>London</t>
  </si>
  <si>
    <t>GPG Executive</t>
  </si>
  <si>
    <t>Enron Europe</t>
  </si>
  <si>
    <t>Enron Global Finance (ECM)</t>
  </si>
  <si>
    <t>Enron Energy Services</t>
  </si>
  <si>
    <t>Enron Broadband Services</t>
  </si>
  <si>
    <t>APACHE</t>
  </si>
  <si>
    <t>South America</t>
  </si>
  <si>
    <t>India</t>
  </si>
  <si>
    <t>CALME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</si>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</sst>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105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sz val="10"/>
      <name val="Tahoma"/>
    </font>
    <font>
      <b/>
      <sz val="10"/>
      <color indexed="56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sz val="10"/>
      <color indexed="56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u/>
      <sz val="10"/>
      <name val="Arial Narrow"/>
      <family val="2"/>
    </font>
    <font>
      <b/>
      <sz val="10"/>
      <color indexed="10"/>
      <name val="Arial Narrow"/>
      <family val="2"/>
    </font>
    <font>
      <b/>
      <sz val="20"/>
      <color indexed="8"/>
      <name val="Arial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4"/>
      <color indexed="8"/>
      <name val="Arial"/>
      <family val="2"/>
    </font>
    <font>
      <sz val="10"/>
      <color indexed="10"/>
      <name val="Arial Narrow"/>
      <family val="2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7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10" fillId="0" borderId="0"/>
    <xf numFmtId="298" fontId="7" fillId="2" borderId="1">
      <alignment horizontal="center" vertical="center"/>
    </xf>
    <xf numFmtId="343" fontId="7" fillId="0" borderId="0" applyFill="0" applyBorder="0" applyAlignment="0"/>
    <xf numFmtId="43" fontId="1" fillId="0" borderId="0" applyFont="0" applyFill="0" applyBorder="0" applyAlignment="0" applyProtection="0"/>
    <xf numFmtId="6" fontId="13" fillId="0" borderId="0">
      <protection locked="0"/>
    </xf>
    <xf numFmtId="312" fontId="7" fillId="0" borderId="0">
      <protection locked="0"/>
    </xf>
    <xf numFmtId="38" fontId="29" fillId="4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2" applyNumberFormat="0" applyAlignment="0" applyProtection="0">
      <alignment horizontal="left" vertical="center"/>
    </xf>
    <xf numFmtId="0" fontId="32" fillId="0" borderId="3">
      <alignment horizontal="left" vertical="center"/>
    </xf>
    <xf numFmtId="359" fontId="7" fillId="0" borderId="0">
      <protection locked="0"/>
    </xf>
    <xf numFmtId="359" fontId="7" fillId="0" borderId="0">
      <protection locked="0"/>
    </xf>
    <xf numFmtId="0" fontId="34" fillId="0" borderId="4" applyNumberFormat="0" applyFill="0" applyAlignment="0" applyProtection="0"/>
    <xf numFmtId="10" fontId="29" fillId="5" borderId="5" applyNumberFormat="0" applyBorder="0" applyAlignment="0" applyProtection="0"/>
    <xf numFmtId="37" fontId="35" fillId="0" borderId="0"/>
    <xf numFmtId="278" fontId="36" fillId="0" borderId="0"/>
    <xf numFmtId="0" fontId="81" fillId="0" borderId="0"/>
    <xf numFmtId="0" fontId="1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359" fontId="7" fillId="0" borderId="7">
      <protection locked="0"/>
    </xf>
    <xf numFmtId="37" fontId="29" fillId="7" borderId="0" applyNumberFormat="0" applyBorder="0" applyAlignment="0" applyProtection="0"/>
    <xf numFmtId="37" fontId="25" fillId="0" borderId="0"/>
    <xf numFmtId="37" fontId="25" fillId="4" borderId="0" applyNumberFormat="0" applyBorder="0" applyAlignment="0" applyProtection="0"/>
    <xf numFmtId="3" fontId="80" fillId="0" borderId="4" applyProtection="0"/>
  </cellStyleXfs>
  <cellXfs count="26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6" fillId="0" borderId="0" xfId="0" applyFont="1"/>
    <xf numFmtId="49" fontId="2" fillId="0" borderId="0" xfId="17" applyNumberFormat="1" applyFont="1" applyAlignment="1">
      <alignment horizontal="left" vertical="top"/>
    </xf>
    <xf numFmtId="49" fontId="2" fillId="0" borderId="0" xfId="17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8" borderId="0" xfId="0" applyNumberFormat="1" applyFont="1" applyFill="1"/>
    <xf numFmtId="0" fontId="2" fillId="0" borderId="0" xfId="0" applyNumberFormat="1" applyFont="1" applyAlignment="1">
      <alignment horizontal="right"/>
    </xf>
    <xf numFmtId="0" fontId="6" fillId="0" borderId="0" xfId="0" applyFont="1" applyFill="1"/>
    <xf numFmtId="0" fontId="83" fillId="0" borderId="0" xfId="0" applyFont="1" applyFill="1"/>
    <xf numFmtId="0" fontId="84" fillId="0" borderId="0" xfId="0" applyFont="1" applyFill="1" applyAlignment="1">
      <alignment horizontal="left"/>
    </xf>
    <xf numFmtId="0" fontId="86" fillId="0" borderId="0" xfId="0" applyFont="1" applyFill="1" applyAlignment="1">
      <alignment horizontal="left" vertical="center"/>
    </xf>
    <xf numFmtId="0" fontId="87" fillId="0" borderId="0" xfId="0" applyFont="1" applyFill="1" applyAlignment="1">
      <alignment horizontal="right"/>
    </xf>
    <xf numFmtId="0" fontId="83" fillId="0" borderId="0" xfId="0" applyFont="1" applyFill="1" applyAlignment="1">
      <alignment vertical="center"/>
    </xf>
    <xf numFmtId="0" fontId="84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49" fontId="2" fillId="0" borderId="8" xfId="17" applyNumberFormat="1" applyFont="1" applyBorder="1" applyAlignment="1">
      <alignment horizontal="left" vertical="top"/>
    </xf>
    <xf numFmtId="49" fontId="2" fillId="0" borderId="8" xfId="17" applyNumberFormat="1" applyFont="1" applyBorder="1" applyAlignment="1">
      <alignment horizontal="left"/>
    </xf>
    <xf numFmtId="0" fontId="2" fillId="4" borderId="9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82" fillId="4" borderId="10" xfId="17" applyFont="1" applyFill="1" applyBorder="1"/>
    <xf numFmtId="0" fontId="88" fillId="4" borderId="11" xfId="0" applyNumberFormat="1" applyFont="1" applyFill="1" applyBorder="1" applyAlignment="1">
      <alignment horizontal="right"/>
    </xf>
    <xf numFmtId="0" fontId="82" fillId="4" borderId="12" xfId="17" applyFont="1" applyFill="1" applyBorder="1" applyAlignment="1">
      <alignment horizontal="right"/>
    </xf>
    <xf numFmtId="0" fontId="82" fillId="4" borderId="9" xfId="17" applyFont="1" applyFill="1" applyBorder="1"/>
    <xf numFmtId="17" fontId="82" fillId="4" borderId="6" xfId="0" applyNumberFormat="1" applyFont="1" applyFill="1" applyBorder="1" applyAlignment="1">
      <alignment horizontal="right"/>
    </xf>
    <xf numFmtId="0" fontId="82" fillId="4" borderId="13" xfId="17" applyFont="1" applyFill="1" applyBorder="1" applyAlignment="1">
      <alignment horizontal="right"/>
    </xf>
    <xf numFmtId="49" fontId="2" fillId="0" borderId="9" xfId="17" applyNumberFormat="1" applyFont="1" applyBorder="1" applyAlignment="1">
      <alignment horizontal="left" vertical="top"/>
    </xf>
    <xf numFmtId="0" fontId="82" fillId="4" borderId="11" xfId="17" applyFont="1" applyFill="1" applyBorder="1"/>
    <xf numFmtId="0" fontId="82" fillId="4" borderId="6" xfId="17" applyFont="1" applyFill="1" applyBorder="1"/>
    <xf numFmtId="49" fontId="2" fillId="0" borderId="14" xfId="0" applyNumberFormat="1" applyFont="1" applyBorder="1"/>
    <xf numFmtId="0" fontId="2" fillId="0" borderId="14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6" xfId="0" applyFont="1" applyFill="1" applyBorder="1" applyAlignment="1"/>
    <xf numFmtId="0" fontId="3" fillId="4" borderId="6" xfId="0" applyFont="1" applyFill="1" applyBorder="1" applyAlignment="1"/>
    <xf numFmtId="37" fontId="2" fillId="0" borderId="0" xfId="0" applyNumberFormat="1" applyFont="1"/>
    <xf numFmtId="0" fontId="89" fillId="4" borderId="10" xfId="0" applyNumberFormat="1" applyFont="1" applyFill="1" applyBorder="1"/>
    <xf numFmtId="0" fontId="89" fillId="4" borderId="11" xfId="0" applyNumberFormat="1" applyFont="1" applyFill="1" applyBorder="1" applyAlignment="1">
      <alignment horizontal="right"/>
    </xf>
    <xf numFmtId="0" fontId="90" fillId="4" borderId="12" xfId="17" applyFont="1" applyFill="1" applyBorder="1" applyAlignment="1">
      <alignment horizontal="right"/>
    </xf>
    <xf numFmtId="0" fontId="89" fillId="0" borderId="0" xfId="0" applyNumberFormat="1" applyFont="1"/>
    <xf numFmtId="0" fontId="90" fillId="4" borderId="9" xfId="0" applyFont="1" applyFill="1" applyBorder="1"/>
    <xf numFmtId="17" fontId="90" fillId="4" borderId="6" xfId="0" applyNumberFormat="1" applyFont="1" applyFill="1" applyBorder="1" applyAlignment="1">
      <alignment horizontal="right"/>
    </xf>
    <xf numFmtId="0" fontId="90" fillId="4" borderId="13" xfId="17" applyFont="1" applyFill="1" applyBorder="1" applyAlignment="1">
      <alignment horizontal="right"/>
    </xf>
    <xf numFmtId="0" fontId="89" fillId="0" borderId="8" xfId="0" applyFont="1" applyFill="1" applyBorder="1"/>
    <xf numFmtId="165" fontId="89" fillId="0" borderId="0" xfId="4" applyNumberFormat="1" applyFont="1" applyFill="1" applyBorder="1"/>
    <xf numFmtId="37" fontId="89" fillId="0" borderId="0" xfId="4" applyNumberFormat="1" applyFont="1" applyFill="1" applyBorder="1"/>
    <xf numFmtId="0" fontId="89" fillId="0" borderId="0" xfId="0" applyFont="1"/>
    <xf numFmtId="165" fontId="90" fillId="0" borderId="0" xfId="4" applyNumberFormat="1" applyFont="1" applyFill="1" applyBorder="1"/>
    <xf numFmtId="0" fontId="90" fillId="4" borderId="15" xfId="0" applyFont="1" applyFill="1" applyBorder="1" applyAlignment="1"/>
    <xf numFmtId="165" fontId="90" fillId="4" borderId="3" xfId="4" applyNumberFormat="1" applyFont="1" applyFill="1" applyBorder="1"/>
    <xf numFmtId="37" fontId="90" fillId="4" borderId="3" xfId="4" applyNumberFormat="1" applyFont="1" applyFill="1" applyBorder="1"/>
    <xf numFmtId="0" fontId="89" fillId="4" borderId="11" xfId="0" applyNumberFormat="1" applyFont="1" applyFill="1" applyBorder="1"/>
    <xf numFmtId="0" fontId="90" fillId="4" borderId="6" xfId="0" applyFont="1" applyFill="1" applyBorder="1"/>
    <xf numFmtId="0" fontId="89" fillId="0" borderId="0" xfId="0" applyFont="1" applyFill="1" applyBorder="1"/>
    <xf numFmtId="0" fontId="90" fillId="0" borderId="0" xfId="0" applyFont="1" applyFill="1" applyBorder="1" applyAlignment="1"/>
    <xf numFmtId="0" fontId="90" fillId="4" borderId="3" xfId="0" applyFont="1" applyFill="1" applyBorder="1" applyAlignment="1"/>
    <xf numFmtId="37" fontId="90" fillId="0" borderId="0" xfId="4" applyNumberFormat="1" applyFont="1" applyFill="1" applyBorder="1"/>
    <xf numFmtId="0" fontId="90" fillId="4" borderId="10" xfId="0" applyNumberFormat="1" applyFont="1" applyFill="1" applyBorder="1"/>
    <xf numFmtId="0" fontId="90" fillId="4" borderId="11" xfId="0" applyNumberFormat="1" applyFont="1" applyFill="1" applyBorder="1"/>
    <xf numFmtId="0" fontId="90" fillId="4" borderId="11" xfId="0" applyNumberFormat="1" applyFont="1" applyFill="1" applyBorder="1" applyAlignment="1">
      <alignment horizontal="right"/>
    </xf>
    <xf numFmtId="0" fontId="90" fillId="0" borderId="0" xfId="0" applyNumberFormat="1" applyFont="1"/>
    <xf numFmtId="3" fontId="3" fillId="0" borderId="16" xfId="0" applyNumberFormat="1" applyFont="1" applyBorder="1" applyAlignment="1">
      <alignment horizontal="center" vertical="center"/>
    </xf>
    <xf numFmtId="10" fontId="3" fillId="0" borderId="17" xfId="19" applyNumberFormat="1" applyFont="1" applyBorder="1" applyAlignment="1">
      <alignment horizontal="center" vertical="center"/>
    </xf>
    <xf numFmtId="10" fontId="3" fillId="0" borderId="18" xfId="19" applyNumberFormat="1" applyFont="1" applyBorder="1" applyAlignment="1">
      <alignment horizontal="center" vertical="center"/>
    </xf>
    <xf numFmtId="10" fontId="3" fillId="0" borderId="19" xfId="19" applyNumberFormat="1" applyFont="1" applyBorder="1" applyAlignment="1">
      <alignment horizontal="center" vertical="center"/>
    </xf>
    <xf numFmtId="10" fontId="3" fillId="0" borderId="16" xfId="19" applyNumberFormat="1" applyFont="1" applyBorder="1" applyAlignment="1">
      <alignment horizontal="center" vertical="center"/>
    </xf>
    <xf numFmtId="0" fontId="90" fillId="9" borderId="8" xfId="0" applyFont="1" applyFill="1" applyBorder="1" applyAlignment="1"/>
    <xf numFmtId="0" fontId="90" fillId="9" borderId="0" xfId="0" applyFont="1" applyFill="1" applyBorder="1" applyAlignment="1"/>
    <xf numFmtId="165" fontId="90" fillId="9" borderId="0" xfId="4" applyNumberFormat="1" applyFont="1" applyFill="1" applyBorder="1"/>
    <xf numFmtId="37" fontId="90" fillId="9" borderId="11" xfId="4" applyNumberFormat="1" applyFont="1" applyFill="1" applyBorder="1"/>
    <xf numFmtId="0" fontId="89" fillId="0" borderId="10" xfId="0" applyFont="1" applyFill="1" applyBorder="1"/>
    <xf numFmtId="0" fontId="89" fillId="0" borderId="11" xfId="0" applyFont="1" applyFill="1" applyBorder="1"/>
    <xf numFmtId="165" fontId="89" fillId="0" borderId="11" xfId="4" applyNumberFormat="1" applyFont="1" applyFill="1" applyBorder="1"/>
    <xf numFmtId="37" fontId="89" fillId="0" borderId="11" xfId="4" applyNumberFormat="1" applyFont="1" applyFill="1" applyBorder="1"/>
    <xf numFmtId="37" fontId="2" fillId="0" borderId="0" xfId="4" applyNumberFormat="1" applyFont="1" applyFill="1" applyBorder="1"/>
    <xf numFmtId="37" fontId="3" fillId="9" borderId="20" xfId="4" applyNumberFormat="1" applyFont="1" applyFill="1" applyBorder="1"/>
    <xf numFmtId="49" fontId="2" fillId="9" borderId="8" xfId="17" applyNumberFormat="1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left"/>
    </xf>
    <xf numFmtId="0" fontId="2" fillId="9" borderId="0" xfId="0" applyFont="1" applyFill="1" applyBorder="1"/>
    <xf numFmtId="37" fontId="3" fillId="9" borderId="11" xfId="4" applyNumberFormat="1" applyFont="1" applyFill="1" applyBorder="1"/>
    <xf numFmtId="37" fontId="3" fillId="9" borderId="12" xfId="4" applyNumberFormat="1" applyFont="1" applyFill="1" applyBorder="1"/>
    <xf numFmtId="0" fontId="2" fillId="9" borderId="0" xfId="0" applyFont="1" applyFill="1" applyBorder="1" applyAlignment="1"/>
    <xf numFmtId="37" fontId="2" fillId="9" borderId="0" xfId="4" applyNumberFormat="1" applyFont="1" applyFill="1" applyBorder="1"/>
    <xf numFmtId="0" fontId="3" fillId="9" borderId="0" xfId="0" applyFont="1" applyFill="1" applyBorder="1" applyAlignment="1"/>
    <xf numFmtId="0" fontId="2" fillId="9" borderId="8" xfId="17" applyFont="1" applyFill="1" applyBorder="1"/>
    <xf numFmtId="37" fontId="3" fillId="4" borderId="3" xfId="4" applyNumberFormat="1" applyFont="1" applyFill="1" applyBorder="1"/>
    <xf numFmtId="37" fontId="3" fillId="4" borderId="21" xfId="4" applyNumberFormat="1" applyFont="1" applyFill="1" applyBorder="1"/>
    <xf numFmtId="0" fontId="91" fillId="0" borderId="0" xfId="0" applyFont="1"/>
    <xf numFmtId="165" fontId="2" fillId="0" borderId="0" xfId="4" applyNumberFormat="1" applyFont="1"/>
    <xf numFmtId="165" fontId="3" fillId="0" borderId="16" xfId="4" applyNumberFormat="1" applyFont="1" applyBorder="1"/>
    <xf numFmtId="0" fontId="92" fillId="0" borderId="0" xfId="0" applyFont="1"/>
    <xf numFmtId="37" fontId="90" fillId="9" borderId="0" xfId="4" applyNumberFormat="1" applyFont="1" applyFill="1" applyBorder="1"/>
    <xf numFmtId="37" fontId="90" fillId="9" borderId="6" xfId="4" applyNumberFormat="1" applyFont="1" applyFill="1" applyBorder="1"/>
    <xf numFmtId="17" fontId="90" fillId="4" borderId="6" xfId="0" applyNumberFormat="1" applyFont="1" applyFill="1" applyBorder="1" applyAlignment="1">
      <alignment horizontal="center"/>
    </xf>
    <xf numFmtId="17" fontId="90" fillId="4" borderId="22" xfId="0" applyNumberFormat="1" applyFont="1" applyFill="1" applyBorder="1" applyAlignment="1">
      <alignment horizontal="center"/>
    </xf>
    <xf numFmtId="17" fontId="90" fillId="4" borderId="23" xfId="0" applyNumberFormat="1" applyFont="1" applyFill="1" applyBorder="1" applyAlignment="1">
      <alignment horizontal="center"/>
    </xf>
    <xf numFmtId="37" fontId="89" fillId="0" borderId="24" xfId="4" applyNumberFormat="1" applyFont="1" applyFill="1" applyBorder="1"/>
    <xf numFmtId="37" fontId="89" fillId="0" borderId="25" xfId="4" applyNumberFormat="1" applyFont="1" applyFill="1" applyBorder="1"/>
    <xf numFmtId="37" fontId="89" fillId="0" borderId="26" xfId="4" applyNumberFormat="1" applyFont="1" applyFill="1" applyBorder="1"/>
    <xf numFmtId="37" fontId="89" fillId="0" borderId="27" xfId="4" applyNumberFormat="1" applyFont="1" applyFill="1" applyBorder="1"/>
    <xf numFmtId="37" fontId="2" fillId="0" borderId="26" xfId="4" applyNumberFormat="1" applyFont="1" applyFill="1" applyBorder="1"/>
    <xf numFmtId="37" fontId="2" fillId="0" borderId="27" xfId="4" applyNumberFormat="1" applyFont="1" applyFill="1" applyBorder="1"/>
    <xf numFmtId="37" fontId="3" fillId="9" borderId="24" xfId="4" applyNumberFormat="1" applyFont="1" applyFill="1" applyBorder="1"/>
    <xf numFmtId="37" fontId="3" fillId="9" borderId="25" xfId="4" applyNumberFormat="1" applyFont="1" applyFill="1" applyBorder="1"/>
    <xf numFmtId="37" fontId="2" fillId="9" borderId="26" xfId="4" applyNumberFormat="1" applyFont="1" applyFill="1" applyBorder="1"/>
    <xf numFmtId="37" fontId="2" fillId="9" borderId="27" xfId="4" applyNumberFormat="1" applyFont="1" applyFill="1" applyBorder="1"/>
    <xf numFmtId="37" fontId="3" fillId="4" borderId="28" xfId="4" applyNumberFormat="1" applyFont="1" applyFill="1" applyBorder="1"/>
    <xf numFmtId="37" fontId="3" fillId="4" borderId="29" xfId="4" applyNumberFormat="1" applyFont="1" applyFill="1" applyBorder="1"/>
    <xf numFmtId="37" fontId="89" fillId="0" borderId="30" xfId="4" applyNumberFormat="1" applyFont="1" applyFill="1" applyBorder="1"/>
    <xf numFmtId="37" fontId="89" fillId="0" borderId="31" xfId="4" applyNumberFormat="1" applyFont="1" applyFill="1" applyBorder="1"/>
    <xf numFmtId="37" fontId="2" fillId="0" borderId="31" xfId="4" applyNumberFormat="1" applyFont="1" applyFill="1" applyBorder="1"/>
    <xf numFmtId="37" fontId="3" fillId="9" borderId="30" xfId="4" applyNumberFormat="1" applyFont="1" applyFill="1" applyBorder="1"/>
    <xf numFmtId="37" fontId="2" fillId="9" borderId="31" xfId="4" applyNumberFormat="1" applyFont="1" applyFill="1" applyBorder="1"/>
    <xf numFmtId="37" fontId="3" fillId="4" borderId="32" xfId="4" applyNumberFormat="1" applyFont="1" applyFill="1" applyBorder="1"/>
    <xf numFmtId="49" fontId="2" fillId="0" borderId="0" xfId="0" applyNumberFormat="1" applyFont="1" applyBorder="1"/>
    <xf numFmtId="0" fontId="89" fillId="4" borderId="33" xfId="0" applyNumberFormat="1" applyFont="1" applyFill="1" applyBorder="1"/>
    <xf numFmtId="0" fontId="89" fillId="4" borderId="34" xfId="0" applyNumberFormat="1" applyFont="1" applyFill="1" applyBorder="1" applyAlignment="1">
      <alignment horizontal="right"/>
    </xf>
    <xf numFmtId="0" fontId="90" fillId="4" borderId="22" xfId="0" applyFont="1" applyFill="1" applyBorder="1"/>
    <xf numFmtId="17" fontId="90" fillId="4" borderId="23" xfId="0" applyNumberFormat="1" applyFont="1" applyFill="1" applyBorder="1" applyAlignment="1">
      <alignment horizontal="right"/>
    </xf>
    <xf numFmtId="0" fontId="89" fillId="0" borderId="24" xfId="0" applyFont="1" applyFill="1" applyBorder="1"/>
    <xf numFmtId="165" fontId="89" fillId="0" borderId="25" xfId="4" applyNumberFormat="1" applyFont="1" applyFill="1" applyBorder="1"/>
    <xf numFmtId="0" fontId="89" fillId="0" borderId="26" xfId="0" applyFont="1" applyFill="1" applyBorder="1"/>
    <xf numFmtId="165" fontId="89" fillId="0" borderId="27" xfId="4" applyNumberFormat="1" applyFont="1" applyFill="1" applyBorder="1"/>
    <xf numFmtId="165" fontId="90" fillId="0" borderId="27" xfId="4" applyNumberFormat="1" applyFont="1" applyFill="1" applyBorder="1"/>
    <xf numFmtId="0" fontId="90" fillId="9" borderId="26" xfId="0" applyFont="1" applyFill="1" applyBorder="1" applyAlignment="1"/>
    <xf numFmtId="165" fontId="90" fillId="9" borderId="27" xfId="4" applyNumberFormat="1" applyFont="1" applyFill="1" applyBorder="1"/>
    <xf numFmtId="0" fontId="2" fillId="0" borderId="26" xfId="0" applyFont="1" applyBorder="1"/>
    <xf numFmtId="0" fontId="2" fillId="0" borderId="27" xfId="0" applyFont="1" applyBorder="1"/>
    <xf numFmtId="0" fontId="3" fillId="9" borderId="26" xfId="0" applyFont="1" applyFill="1" applyBorder="1" applyAlignment="1">
      <alignment horizontal="left"/>
    </xf>
    <xf numFmtId="0" fontId="2" fillId="9" borderId="27" xfId="0" applyFont="1" applyFill="1" applyBorder="1"/>
    <xf numFmtId="0" fontId="2" fillId="9" borderId="26" xfId="0" applyFont="1" applyFill="1" applyBorder="1" applyAlignment="1"/>
    <xf numFmtId="0" fontId="2" fillId="9" borderId="26" xfId="0" applyFont="1" applyFill="1" applyBorder="1"/>
    <xf numFmtId="0" fontId="3" fillId="9" borderId="26" xfId="0" applyFont="1" applyFill="1" applyBorder="1" applyAlignment="1"/>
    <xf numFmtId="0" fontId="2" fillId="0" borderId="26" xfId="0" applyFont="1" applyFill="1" applyBorder="1"/>
    <xf numFmtId="0" fontId="2" fillId="0" borderId="27" xfId="0" applyFont="1" applyFill="1" applyBorder="1"/>
    <xf numFmtId="0" fontId="3" fillId="0" borderId="26" xfId="0" applyFont="1" applyFill="1" applyBorder="1" applyAlignment="1"/>
    <xf numFmtId="0" fontId="3" fillId="0" borderId="22" xfId="0" applyFont="1" applyFill="1" applyBorder="1" applyAlignment="1"/>
    <xf numFmtId="0" fontId="2" fillId="0" borderId="23" xfId="0" applyFont="1" applyBorder="1"/>
    <xf numFmtId="0" fontId="3" fillId="4" borderId="35" xfId="0" applyFont="1" applyFill="1" applyBorder="1" applyAlignment="1"/>
    <xf numFmtId="0" fontId="2" fillId="4" borderId="36" xfId="0" applyFont="1" applyFill="1" applyBorder="1"/>
    <xf numFmtId="0" fontId="90" fillId="4" borderId="33" xfId="0" applyNumberFormat="1" applyFont="1" applyFill="1" applyBorder="1"/>
    <xf numFmtId="0" fontId="90" fillId="4" borderId="34" xfId="0" applyNumberFormat="1" applyFont="1" applyFill="1" applyBorder="1" applyAlignment="1">
      <alignment horizontal="right"/>
    </xf>
    <xf numFmtId="0" fontId="90" fillId="4" borderId="35" xfId="0" applyFont="1" applyFill="1" applyBorder="1"/>
    <xf numFmtId="17" fontId="90" fillId="4" borderId="36" xfId="0" applyNumberFormat="1" applyFont="1" applyFill="1" applyBorder="1" applyAlignment="1">
      <alignment horizontal="right"/>
    </xf>
    <xf numFmtId="17" fontId="90" fillId="4" borderId="35" xfId="0" applyNumberFormat="1" applyFont="1" applyFill="1" applyBorder="1" applyAlignment="1">
      <alignment horizontal="center"/>
    </xf>
    <xf numFmtId="17" fontId="90" fillId="4" borderId="14" xfId="0" applyNumberFormat="1" applyFont="1" applyFill="1" applyBorder="1" applyAlignment="1">
      <alignment horizontal="center"/>
    </xf>
    <xf numFmtId="17" fontId="90" fillId="4" borderId="36" xfId="0" applyNumberFormat="1" applyFont="1" applyFill="1" applyBorder="1" applyAlignment="1">
      <alignment horizontal="center"/>
    </xf>
    <xf numFmtId="191" fontId="89" fillId="0" borderId="26" xfId="4" applyNumberFormat="1" applyFont="1" applyFill="1" applyBorder="1"/>
    <xf numFmtId="191" fontId="89" fillId="0" borderId="31" xfId="4" applyNumberFormat="1" applyFont="1" applyFill="1" applyBorder="1"/>
    <xf numFmtId="191" fontId="90" fillId="9" borderId="24" xfId="4" applyNumberFormat="1" applyFont="1" applyFill="1" applyBorder="1"/>
    <xf numFmtId="191" fontId="90" fillId="9" borderId="30" xfId="4" applyNumberFormat="1" applyFont="1" applyFill="1" applyBorder="1"/>
    <xf numFmtId="191" fontId="90" fillId="9" borderId="25" xfId="4" applyNumberFormat="1" applyFont="1" applyFill="1" applyBorder="1"/>
    <xf numFmtId="191" fontId="89" fillId="0" borderId="8" xfId="0" applyNumberFormat="1" applyFont="1" applyFill="1" applyBorder="1"/>
    <xf numFmtId="191" fontId="89" fillId="0" borderId="26" xfId="0" applyNumberFormat="1" applyFont="1" applyFill="1" applyBorder="1"/>
    <xf numFmtId="191" fontId="89" fillId="0" borderId="27" xfId="4" applyNumberFormat="1" applyFont="1" applyFill="1" applyBorder="1"/>
    <xf numFmtId="191" fontId="89" fillId="0" borderId="0" xfId="0" applyNumberFormat="1" applyFont="1"/>
    <xf numFmtId="191" fontId="90" fillId="4" borderId="15" xfId="0" applyNumberFormat="1" applyFont="1" applyFill="1" applyBorder="1" applyAlignment="1"/>
    <xf numFmtId="191" fontId="90" fillId="4" borderId="28" xfId="0" applyNumberFormat="1" applyFont="1" applyFill="1" applyBorder="1" applyAlignment="1"/>
    <xf numFmtId="191" fontId="90" fillId="4" borderId="29" xfId="4" applyNumberFormat="1" applyFont="1" applyFill="1" applyBorder="1"/>
    <xf numFmtId="191" fontId="90" fillId="4" borderId="28" xfId="4" applyNumberFormat="1" applyFont="1" applyFill="1" applyBorder="1"/>
    <xf numFmtId="191" fontId="90" fillId="4" borderId="32" xfId="4" applyNumberFormat="1" applyFont="1" applyFill="1" applyBorder="1"/>
    <xf numFmtId="0" fontId="2" fillId="0" borderId="0" xfId="0" applyNumberFormat="1" applyFont="1" applyBorder="1"/>
    <xf numFmtId="0" fontId="3" fillId="5" borderId="5" xfId="0" applyFont="1" applyFill="1" applyBorder="1"/>
    <xf numFmtId="17" fontId="3" fillId="5" borderId="15" xfId="0" applyNumberFormat="1" applyFont="1" applyFill="1" applyBorder="1" applyAlignment="1">
      <alignment horizontal="center"/>
    </xf>
    <xf numFmtId="17" fontId="3" fillId="5" borderId="3" xfId="0" applyNumberFormat="1" applyFont="1" applyFill="1" applyBorder="1" applyAlignment="1">
      <alignment horizontal="center"/>
    </xf>
    <xf numFmtId="17" fontId="3" fillId="5" borderId="21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4" applyNumberFormat="1" applyFont="1"/>
    <xf numFmtId="49" fontId="2" fillId="0" borderId="0" xfId="0" applyNumberFormat="1" applyFont="1" applyFill="1"/>
    <xf numFmtId="0" fontId="3" fillId="0" borderId="0" xfId="0" applyFont="1" applyFill="1" applyAlignment="1">
      <alignment horizontal="left"/>
    </xf>
    <xf numFmtId="165" fontId="94" fillId="0" borderId="11" xfId="4" applyNumberFormat="1" applyFont="1" applyFill="1" applyBorder="1"/>
    <xf numFmtId="0" fontId="3" fillId="0" borderId="0" xfId="0" applyFont="1" applyAlignment="1">
      <alignment horizontal="center"/>
    </xf>
    <xf numFmtId="165" fontId="94" fillId="0" borderId="7" xfId="0" applyNumberFormat="1" applyFont="1" applyBorder="1"/>
    <xf numFmtId="0" fontId="94" fillId="0" borderId="0" xfId="0" applyFont="1" applyBorder="1"/>
    <xf numFmtId="17" fontId="3" fillId="0" borderId="0" xfId="0" applyNumberFormat="1" applyFont="1" applyAlignment="1">
      <alignment horizontal="center"/>
    </xf>
    <xf numFmtId="0" fontId="2" fillId="0" borderId="0" xfId="0" quotePrefix="1" applyFont="1"/>
    <xf numFmtId="165" fontId="95" fillId="0" borderId="0" xfId="4" applyNumberFormat="1" applyFont="1" applyFill="1"/>
    <xf numFmtId="0" fontId="2" fillId="0" borderId="0" xfId="0" quotePrefix="1" applyFont="1" applyFill="1"/>
    <xf numFmtId="165" fontId="95" fillId="0" borderId="11" xfId="4" applyNumberFormat="1" applyFont="1" applyFill="1" applyBorder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/>
    <xf numFmtId="165" fontId="95" fillId="0" borderId="7" xfId="4" applyNumberFormat="1" applyFont="1" applyFill="1" applyBorder="1"/>
    <xf numFmtId="165" fontId="2" fillId="0" borderId="0" xfId="0" applyNumberFormat="1" applyFont="1"/>
    <xf numFmtId="37" fontId="2" fillId="0" borderId="37" xfId="4" applyNumberFormat="1" applyFont="1" applyFill="1" applyBorder="1"/>
    <xf numFmtId="0" fontId="3" fillId="0" borderId="0" xfId="0" applyFont="1" applyAlignment="1">
      <alignment horizontal="right"/>
    </xf>
    <xf numFmtId="4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5" fontId="99" fillId="0" borderId="0" xfId="0" applyNumberFormat="1" applyFont="1"/>
    <xf numFmtId="0" fontId="2" fillId="0" borderId="6" xfId="0" applyFont="1" applyBorder="1" applyProtection="1">
      <protection locked="0"/>
    </xf>
    <xf numFmtId="165" fontId="94" fillId="0" borderId="7" xfId="4" applyNumberFormat="1" applyFont="1" applyFill="1" applyBorder="1"/>
    <xf numFmtId="0" fontId="95" fillId="0" borderId="0" xfId="0" applyFont="1" applyBorder="1"/>
    <xf numFmtId="165" fontId="6" fillId="0" borderId="0" xfId="4" applyNumberFormat="1" applyFont="1" applyProtection="1">
      <protection locked="0"/>
    </xf>
    <xf numFmtId="165" fontId="6" fillId="0" borderId="0" xfId="4" applyNumberFormat="1" applyFont="1" applyFill="1" applyProtection="1">
      <protection locked="0"/>
    </xf>
    <xf numFmtId="0" fontId="4" fillId="0" borderId="0" xfId="0" applyFont="1" applyFill="1"/>
    <xf numFmtId="0" fontId="47" fillId="0" borderId="0" xfId="0" applyFont="1"/>
    <xf numFmtId="10" fontId="47" fillId="0" borderId="26" xfId="0" applyNumberFormat="1" applyFont="1" applyFill="1" applyBorder="1"/>
    <xf numFmtId="165" fontId="47" fillId="0" borderId="27" xfId="0" applyNumberFormat="1" applyFont="1" applyBorder="1"/>
    <xf numFmtId="0" fontId="47" fillId="0" borderId="0" xfId="0" applyFont="1" applyBorder="1"/>
    <xf numFmtId="10" fontId="47" fillId="0" borderId="26" xfId="19" applyNumberFormat="1" applyFont="1" applyFill="1" applyBorder="1"/>
    <xf numFmtId="165" fontId="47" fillId="0" borderId="27" xfId="4" applyNumberFormat="1" applyFont="1" applyBorder="1"/>
    <xf numFmtId="10" fontId="47" fillId="0" borderId="26" xfId="19" applyNumberFormat="1" applyFont="1" applyBorder="1"/>
    <xf numFmtId="10" fontId="47" fillId="0" borderId="0" xfId="0" applyNumberFormat="1" applyFont="1" applyFill="1" applyBorder="1"/>
    <xf numFmtId="165" fontId="47" fillId="0" borderId="0" xfId="0" applyNumberFormat="1" applyFont="1" applyBorder="1"/>
    <xf numFmtId="10" fontId="47" fillId="0" borderId="0" xfId="19" applyNumberFormat="1" applyFont="1" applyFill="1" applyBorder="1"/>
    <xf numFmtId="165" fontId="47" fillId="0" borderId="0" xfId="4" applyNumberFormat="1" applyFont="1" applyBorder="1"/>
    <xf numFmtId="10" fontId="47" fillId="0" borderId="0" xfId="19" applyNumberFormat="1" applyFont="1" applyBorder="1"/>
    <xf numFmtId="165" fontId="47" fillId="10" borderId="0" xfId="4" applyNumberFormat="1" applyFont="1" applyFill="1" applyBorder="1"/>
    <xf numFmtId="0" fontId="47" fillId="0" borderId="26" xfId="0" applyFont="1" applyBorder="1"/>
    <xf numFmtId="165" fontId="47" fillId="0" borderId="18" xfId="0" applyNumberFormat="1" applyFont="1" applyBorder="1"/>
    <xf numFmtId="17" fontId="101" fillId="0" borderId="33" xfId="0" applyNumberFormat="1" applyFont="1" applyBorder="1"/>
    <xf numFmtId="0" fontId="47" fillId="0" borderId="38" xfId="0" applyFont="1" applyBorder="1"/>
    <xf numFmtId="0" fontId="47" fillId="0" borderId="17" xfId="0" applyFont="1" applyBorder="1"/>
    <xf numFmtId="0" fontId="101" fillId="0" borderId="26" xfId="0" applyFont="1" applyBorder="1" applyAlignment="1">
      <alignment horizontal="right"/>
    </xf>
    <xf numFmtId="0" fontId="101" fillId="0" borderId="18" xfId="0" applyFont="1" applyBorder="1" applyAlignment="1">
      <alignment horizontal="center"/>
    </xf>
    <xf numFmtId="0" fontId="101" fillId="0" borderId="35" xfId="0" applyFont="1" applyBorder="1" applyAlignment="1">
      <alignment horizontal="center"/>
    </xf>
    <xf numFmtId="0" fontId="101" fillId="0" borderId="36" xfId="0" applyFont="1" applyBorder="1" applyAlignment="1">
      <alignment horizontal="center"/>
    </xf>
    <xf numFmtId="0" fontId="47" fillId="0" borderId="19" xfId="0" applyFont="1" applyBorder="1"/>
    <xf numFmtId="0" fontId="47" fillId="0" borderId="27" xfId="0" applyFont="1" applyBorder="1"/>
    <xf numFmtId="0" fontId="47" fillId="0" borderId="18" xfId="0" applyFont="1" applyBorder="1"/>
    <xf numFmtId="0" fontId="103" fillId="0" borderId="0" xfId="18" applyFont="1"/>
    <xf numFmtId="165" fontId="47" fillId="10" borderId="27" xfId="4" applyNumberFormat="1" applyFont="1" applyFill="1" applyBorder="1"/>
    <xf numFmtId="165" fontId="47" fillId="0" borderId="0" xfId="0" applyNumberFormat="1" applyFont="1"/>
    <xf numFmtId="10" fontId="47" fillId="0" borderId="26" xfId="19" applyNumberFormat="1" applyFont="1" applyFill="1" applyBorder="1" applyAlignment="1">
      <alignment horizontal="right"/>
    </xf>
    <xf numFmtId="10" fontId="47" fillId="0" borderId="26" xfId="0" applyNumberFormat="1" applyFont="1" applyFill="1" applyBorder="1" applyAlignment="1">
      <alignment horizontal="right"/>
    </xf>
    <xf numFmtId="0" fontId="47" fillId="0" borderId="0" xfId="0" applyFont="1" applyFill="1"/>
    <xf numFmtId="0" fontId="47" fillId="0" borderId="26" xfId="0" applyFont="1" applyFill="1" applyBorder="1"/>
    <xf numFmtId="0" fontId="101" fillId="0" borderId="0" xfId="0" applyFont="1"/>
    <xf numFmtId="0" fontId="101" fillId="0" borderId="39" xfId="0" applyFont="1" applyBorder="1"/>
    <xf numFmtId="10" fontId="101" fillId="0" borderId="39" xfId="19" applyNumberFormat="1" applyFont="1" applyBorder="1"/>
    <xf numFmtId="165" fontId="101" fillId="0" borderId="40" xfId="4" applyNumberFormat="1" applyFont="1" applyBorder="1"/>
    <xf numFmtId="0" fontId="101" fillId="0" borderId="7" xfId="0" applyFont="1" applyBorder="1"/>
    <xf numFmtId="10" fontId="101" fillId="0" borderId="39" xfId="0" applyNumberFormat="1" applyFont="1" applyBorder="1"/>
    <xf numFmtId="165" fontId="101" fillId="0" borderId="41" xfId="4" applyNumberFormat="1" applyFont="1" applyBorder="1"/>
    <xf numFmtId="0" fontId="47" fillId="0" borderId="35" xfId="0" applyFont="1" applyBorder="1"/>
    <xf numFmtId="0" fontId="47" fillId="0" borderId="14" xfId="0" applyFont="1" applyBorder="1"/>
    <xf numFmtId="0" fontId="47" fillId="0" borderId="36" xfId="0" applyFont="1" applyBorder="1"/>
    <xf numFmtId="165" fontId="104" fillId="0" borderId="0" xfId="4" applyNumberFormat="1" applyFont="1"/>
    <xf numFmtId="10" fontId="47" fillId="0" borderId="27" xfId="19" applyNumberFormat="1" applyFont="1" applyBorder="1"/>
    <xf numFmtId="10" fontId="47" fillId="0" borderId="0" xfId="19" applyNumberFormat="1" applyFont="1"/>
    <xf numFmtId="10" fontId="101" fillId="0" borderId="36" xfId="19" applyNumberFormat="1" applyFont="1" applyBorder="1" applyAlignment="1">
      <alignment horizontal="center"/>
    </xf>
    <xf numFmtId="10" fontId="101" fillId="0" borderId="40" xfId="19" applyNumberFormat="1" applyFont="1" applyBorder="1"/>
    <xf numFmtId="10" fontId="47" fillId="0" borderId="14" xfId="19" applyNumberFormat="1" applyFont="1" applyBorder="1"/>
    <xf numFmtId="10" fontId="104" fillId="0" borderId="0" xfId="19" applyNumberFormat="1" applyFont="1"/>
    <xf numFmtId="0" fontId="89" fillId="4" borderId="33" xfId="0" applyNumberFormat="1" applyFont="1" applyFill="1" applyBorder="1" applyAlignment="1">
      <alignment horizontal="center"/>
    </xf>
    <xf numFmtId="0" fontId="89" fillId="4" borderId="38" xfId="0" applyNumberFormat="1" applyFont="1" applyFill="1" applyBorder="1" applyAlignment="1">
      <alignment horizontal="center"/>
    </xf>
    <xf numFmtId="0" fontId="89" fillId="4" borderId="34" xfId="0" applyNumberFormat="1" applyFont="1" applyFill="1" applyBorder="1" applyAlignment="1">
      <alignment horizontal="center"/>
    </xf>
    <xf numFmtId="0" fontId="102" fillId="0" borderId="33" xfId="0" quotePrefix="1" applyFont="1" applyBorder="1" applyAlignment="1">
      <alignment horizontal="center"/>
    </xf>
    <xf numFmtId="0" fontId="102" fillId="0" borderId="34" xfId="0" quotePrefix="1" applyFont="1" applyBorder="1" applyAlignment="1">
      <alignment horizontal="center"/>
    </xf>
    <xf numFmtId="0" fontId="78" fillId="0" borderId="26" xfId="0" applyFont="1" applyBorder="1" applyAlignment="1">
      <alignment horizontal="center"/>
    </xf>
    <xf numFmtId="0" fontId="78" fillId="0" borderId="27" xfId="0" applyFont="1" applyBorder="1" applyAlignment="1">
      <alignment horizontal="center"/>
    </xf>
    <xf numFmtId="10" fontId="78" fillId="0" borderId="26" xfId="19" applyNumberFormat="1" applyFont="1" applyBorder="1" applyAlignment="1">
      <alignment horizontal="center"/>
    </xf>
    <xf numFmtId="10" fontId="78" fillId="0" borderId="27" xfId="19" applyNumberFormat="1" applyFont="1" applyBorder="1" applyAlignment="1">
      <alignment horizontal="center"/>
    </xf>
    <xf numFmtId="10" fontId="100" fillId="0" borderId="0" xfId="19" applyNumberFormat="1" applyFont="1" applyAlignment="1">
      <alignment horizontal="center"/>
    </xf>
    <xf numFmtId="10" fontId="102" fillId="0" borderId="33" xfId="19" quotePrefix="1" applyNumberFormat="1" applyFont="1" applyBorder="1" applyAlignment="1">
      <alignment horizontal="center"/>
    </xf>
    <xf numFmtId="10" fontId="102" fillId="0" borderId="34" xfId="19" quotePrefix="1" applyNumberFormat="1" applyFont="1" applyBorder="1" applyAlignment="1">
      <alignment horizontal="center"/>
    </xf>
  </cellXfs>
  <cellStyles count="26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Normal_PR99Alloc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Public%20Relations/PR2KPlan%20rc1275%20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Allocation/Y2k06/2K06allo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Forecast"/>
      <sheetName val="Cosolidated Budget"/>
      <sheetName val="0264 input"/>
      <sheetName val="0264 load"/>
      <sheetName val="1993 input"/>
      <sheetName val="1993 load"/>
    </sheetNames>
    <sheetDataSet>
      <sheetData sheetId="0" refreshError="1"/>
      <sheetData sheetId="1" refreshError="1"/>
      <sheetData sheetId="2">
        <row r="1">
          <cell r="C1" t="str">
            <v>413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Allocation RC"/>
      <sheetName val="Department Summary"/>
      <sheetName val="RAC Corr"/>
      <sheetName val="Correction"/>
      <sheetName val="Energy Ops Tmrpt"/>
      <sheetName val="EO Actual"/>
      <sheetName val="BA&amp;R"/>
      <sheetName val="BA&amp;R Trans Sup"/>
      <sheetName val="Build Out"/>
      <sheetName val="Corp Ben"/>
      <sheetName val="ECM"/>
      <sheetName val="EO"/>
      <sheetName val="EnronOnline"/>
      <sheetName val="IT"/>
      <sheetName val="HR"/>
      <sheetName val="Legal"/>
      <sheetName val="London"/>
      <sheetName val="Longterm Comp"/>
      <sheetName val="OCC"/>
      <sheetName val="PGE"/>
      <sheetName val="PR"/>
      <sheetName val="RAC"/>
      <sheetName val="Tax"/>
      <sheetName val="Canada Trading"/>
      <sheetName val="Canada Fin"/>
      <sheetName val="Headct"/>
      <sheetName val="Sheet2"/>
      <sheetName val="Sheet1"/>
    </sheetNames>
    <sheetDataSet>
      <sheetData sheetId="0">
        <row r="42">
          <cell r="C42">
            <v>162659</v>
          </cell>
        </row>
        <row r="43">
          <cell r="C43">
            <v>103077</v>
          </cell>
        </row>
        <row r="44">
          <cell r="C44">
            <v>115650</v>
          </cell>
        </row>
        <row r="45">
          <cell r="C45">
            <v>56280</v>
          </cell>
        </row>
        <row r="46">
          <cell r="C46">
            <v>146617</v>
          </cell>
        </row>
        <row r="47">
          <cell r="C47">
            <v>45000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3">
          <cell r="C23" t="str">
            <v>Assets Enron Storage Development</v>
          </cell>
          <cell r="D23">
            <v>4</v>
          </cell>
          <cell r="E23">
            <v>2.1208907741251328E-3</v>
          </cell>
          <cell r="F23">
            <v>0</v>
          </cell>
          <cell r="G23">
            <v>0</v>
          </cell>
        </row>
        <row r="24">
          <cell r="C24" t="str">
            <v>Assets Enron Offshore Services</v>
          </cell>
          <cell r="D24">
            <v>5</v>
          </cell>
          <cell r="E24">
            <v>2.6511134676564158E-3</v>
          </cell>
          <cell r="F24">
            <v>2</v>
          </cell>
          <cell r="G24">
            <v>1.0770639237438742E-3</v>
          </cell>
        </row>
        <row r="25">
          <cell r="C25" t="str">
            <v>Assets Enron Power Transmission</v>
          </cell>
          <cell r="D25">
            <v>5</v>
          </cell>
          <cell r="E25">
            <v>2.6511134676564158E-3</v>
          </cell>
          <cell r="F25">
            <v>9</v>
          </cell>
          <cell r="G25">
            <v>4.8467876568474341E-3</v>
          </cell>
        </row>
        <row r="26">
          <cell r="C26" t="str">
            <v>Assets Executive</v>
          </cell>
          <cell r="D26">
            <v>3</v>
          </cell>
          <cell r="E26">
            <v>1.5906680805938495E-3</v>
          </cell>
          <cell r="F26">
            <v>26</v>
          </cell>
          <cell r="G26">
            <v>1.4001831008670364E-2</v>
          </cell>
        </row>
        <row r="27">
          <cell r="C27" t="str">
            <v>Assets Gas Network Engineering</v>
          </cell>
          <cell r="D27">
            <v>38</v>
          </cell>
          <cell r="E27">
            <v>2.0148462354188761E-2</v>
          </cell>
          <cell r="F27">
            <v>22</v>
          </cell>
          <cell r="G27">
            <v>1.1847703161182615E-2</v>
          </cell>
        </row>
        <row r="28">
          <cell r="C28" t="str">
            <v>Assets Gas Network Operations</v>
          </cell>
          <cell r="D28">
            <v>13</v>
          </cell>
          <cell r="E28">
            <v>6.8928950159066809E-3</v>
          </cell>
          <cell r="F28">
            <v>9</v>
          </cell>
          <cell r="G28">
            <v>4.8467876568474341E-3</v>
          </cell>
        </row>
        <row r="29">
          <cell r="C29" t="str">
            <v>Assets Gas Network Services</v>
          </cell>
          <cell r="D29">
            <v>42</v>
          </cell>
          <cell r="E29">
            <v>2.2269353128313893E-2</v>
          </cell>
          <cell r="F29">
            <v>27</v>
          </cell>
          <cell r="G29">
            <v>1.45403629705423E-2</v>
          </cell>
        </row>
        <row r="30">
          <cell r="C30" t="str">
            <v>Assets Network Development</v>
          </cell>
          <cell r="D30">
            <v>3</v>
          </cell>
          <cell r="E30">
            <v>1.5906680805938495E-3</v>
          </cell>
          <cell r="F30">
            <v>9</v>
          </cell>
          <cell r="G30">
            <v>4.8467876568474341E-3</v>
          </cell>
        </row>
        <row r="31">
          <cell r="C31" t="str">
            <v>Assets Rocky Mountain Gas</v>
          </cell>
          <cell r="D31">
            <v>19</v>
          </cell>
          <cell r="E31">
            <v>1.007423117709438E-2</v>
          </cell>
          <cell r="F31">
            <v>21</v>
          </cell>
          <cell r="G31">
            <v>1.1309171199310679E-2</v>
          </cell>
        </row>
        <row r="32">
          <cell r="C32" t="str">
            <v>Assets Trading</v>
          </cell>
          <cell r="D32">
            <v>19</v>
          </cell>
          <cell r="E32">
            <v>1.007423117709438E-2</v>
          </cell>
          <cell r="F32">
            <v>24</v>
          </cell>
          <cell r="G32">
            <v>1.292476708492649E-2</v>
          </cell>
        </row>
        <row r="33">
          <cell r="C33" t="str">
            <v>Assets Transportation</v>
          </cell>
          <cell r="D33">
            <v>16</v>
          </cell>
          <cell r="E33">
            <v>8.483563096500531E-3</v>
          </cell>
          <cell r="F33">
            <v>10</v>
          </cell>
          <cell r="G33">
            <v>5.3853196187193704E-3</v>
          </cell>
        </row>
        <row r="34">
          <cell r="C34" t="str">
            <v>Canada Finance</v>
          </cell>
          <cell r="D34">
            <v>20.5</v>
          </cell>
          <cell r="E34">
            <v>1.0869565217391304E-2</v>
          </cell>
        </row>
        <row r="35">
          <cell r="C35" t="str">
            <v>Canada Trading</v>
          </cell>
          <cell r="D35">
            <v>20.5</v>
          </cell>
          <cell r="E35">
            <v>1.0869565217391304E-2</v>
          </cell>
          <cell r="F35">
            <v>44.5</v>
          </cell>
          <cell r="G35">
            <v>2.3964672303301199E-2</v>
          </cell>
        </row>
        <row r="36">
          <cell r="C36" t="str">
            <v>Clean Energy Solutions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 t="str">
            <v>Coal</v>
          </cell>
          <cell r="D37">
            <v>22</v>
          </cell>
          <cell r="E37">
            <v>1.166489925768823E-2</v>
          </cell>
          <cell r="F37">
            <v>45</v>
          </cell>
          <cell r="G37">
            <v>2.4233938284237169E-2</v>
          </cell>
        </row>
        <row r="38">
          <cell r="C38" t="str">
            <v>Credit Spread Trading</v>
          </cell>
          <cell r="D38">
            <v>6</v>
          </cell>
          <cell r="E38">
            <v>3.1813361611876989E-3</v>
          </cell>
          <cell r="F38">
            <v>9</v>
          </cell>
          <cell r="G38">
            <v>4.8467876568474341E-3</v>
          </cell>
        </row>
        <row r="39">
          <cell r="C39" t="str">
            <v>CTG</v>
          </cell>
          <cell r="D39">
            <v>167</v>
          </cell>
          <cell r="E39">
            <v>8.8547189819724287E-2</v>
          </cell>
          <cell r="F39">
            <v>128</v>
          </cell>
          <cell r="G39">
            <v>6.8932091119607949E-2</v>
          </cell>
        </row>
        <row r="40">
          <cell r="C40" t="str">
            <v>Downstream Industrial Originations</v>
          </cell>
          <cell r="D40">
            <v>26</v>
          </cell>
          <cell r="E40">
            <v>1.3785790031813362E-2</v>
          </cell>
          <cell r="F40">
            <v>33</v>
          </cell>
          <cell r="G40">
            <v>1.7771554741773922E-2</v>
          </cell>
        </row>
        <row r="41">
          <cell r="C41" t="str">
            <v>East Midstream Origination</v>
          </cell>
          <cell r="D41">
            <v>41</v>
          </cell>
          <cell r="E41">
            <v>2.1739130434782608E-2</v>
          </cell>
          <cell r="F41">
            <v>61</v>
          </cell>
          <cell r="G41">
            <v>3.285044967418816E-2</v>
          </cell>
        </row>
        <row r="42">
          <cell r="C42" t="str">
            <v>East Power Trading</v>
          </cell>
          <cell r="D42">
            <v>89</v>
          </cell>
          <cell r="E42">
            <v>4.7189819724284196E-2</v>
          </cell>
          <cell r="F42">
            <v>49</v>
          </cell>
          <cell r="G42">
            <v>2.6388066131724917E-2</v>
          </cell>
        </row>
        <row r="43">
          <cell r="C43" t="str">
            <v>Environmental Energy</v>
          </cell>
          <cell r="D43">
            <v>10</v>
          </cell>
          <cell r="E43">
            <v>5.3022269353128317E-3</v>
          </cell>
          <cell r="F43">
            <v>9</v>
          </cell>
          <cell r="G43">
            <v>4.8467876568474341E-3</v>
          </cell>
        </row>
        <row r="44">
          <cell r="C44" t="str">
            <v>Equity Trading</v>
          </cell>
          <cell r="D44">
            <v>12</v>
          </cell>
          <cell r="E44">
            <v>6.3626723223753979E-3</v>
          </cell>
          <cell r="F44">
            <v>10</v>
          </cell>
          <cell r="G44">
            <v>5.3853196187193704E-3</v>
          </cell>
        </row>
        <row r="45">
          <cell r="C45" t="str">
            <v>Executive Originations</v>
          </cell>
          <cell r="D45">
            <v>0</v>
          </cell>
          <cell r="E45">
            <v>0</v>
          </cell>
          <cell r="F45">
            <v>2</v>
          </cell>
          <cell r="G45">
            <v>1.0770639237438742E-3</v>
          </cell>
        </row>
        <row r="46">
          <cell r="C46" t="str">
            <v>Executive Trading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 t="str">
            <v>Financial Origination</v>
          </cell>
          <cell r="D47">
            <v>13</v>
          </cell>
          <cell r="E47">
            <v>6.8928950159066809E-3</v>
          </cell>
          <cell r="F47">
            <v>17</v>
          </cell>
          <cell r="G47">
            <v>9.15504335182293E-3</v>
          </cell>
        </row>
        <row r="48">
          <cell r="C48" t="str">
            <v>Genco</v>
          </cell>
          <cell r="D48">
            <v>0</v>
          </cell>
          <cell r="E48">
            <v>0</v>
          </cell>
          <cell r="F48">
            <v>12</v>
          </cell>
          <cell r="G48">
            <v>6.4623835424632448E-3</v>
          </cell>
        </row>
        <row r="49">
          <cell r="C49" t="str">
            <v>Group</v>
          </cell>
          <cell r="D49">
            <v>954</v>
          </cell>
          <cell r="E49">
            <v>0.50583244962884411</v>
          </cell>
          <cell r="F49">
            <v>886.4</v>
          </cell>
          <cell r="G49">
            <v>0.47735473100328502</v>
          </cell>
        </row>
        <row r="50">
          <cell r="C50" t="str">
            <v>Insurance - Porfolio Management</v>
          </cell>
          <cell r="D50">
            <v>0</v>
          </cell>
          <cell r="E50">
            <v>0</v>
          </cell>
          <cell r="F50">
            <v>3</v>
          </cell>
          <cell r="G50">
            <v>1.6155958856158112E-3</v>
          </cell>
        </row>
        <row r="51">
          <cell r="C51" t="str">
            <v>Insurance - Risk Products</v>
          </cell>
          <cell r="D51">
            <v>19</v>
          </cell>
          <cell r="E51">
            <v>1.007423117709438E-2</v>
          </cell>
          <cell r="F51">
            <v>20</v>
          </cell>
          <cell r="G51">
            <v>1.0770639237438741E-2</v>
          </cell>
        </row>
        <row r="52">
          <cell r="C52" t="str">
            <v xml:space="preserve">Interest Rate/Foreign Exchange </v>
          </cell>
          <cell r="D52">
            <v>12</v>
          </cell>
          <cell r="E52">
            <v>6.3626723223753979E-3</v>
          </cell>
          <cell r="F52">
            <v>14</v>
          </cell>
          <cell r="G52">
            <v>7.5394474662071193E-3</v>
          </cell>
        </row>
        <row r="53">
          <cell r="C53" t="str">
            <v>Long-term gas trading</v>
          </cell>
          <cell r="D53">
            <v>16</v>
          </cell>
          <cell r="E53">
            <v>8.483563096500531E-3</v>
          </cell>
          <cell r="F53">
            <v>9</v>
          </cell>
          <cell r="G53">
            <v>4.8467876568474341E-3</v>
          </cell>
        </row>
        <row r="54">
          <cell r="C54" t="str">
            <v>Mexico</v>
          </cell>
          <cell r="D54">
            <v>5</v>
          </cell>
          <cell r="E54">
            <v>2.6511134676564158E-3</v>
          </cell>
          <cell r="F54">
            <v>22</v>
          </cell>
          <cell r="G54">
            <v>1.1847703161182615E-2</v>
          </cell>
        </row>
        <row r="55">
          <cell r="C55" t="str">
            <v>Midstream IPP Origination</v>
          </cell>
          <cell r="D55">
            <v>0</v>
          </cell>
          <cell r="E55">
            <v>0</v>
          </cell>
          <cell r="F55">
            <v>18</v>
          </cell>
          <cell r="G55">
            <v>9.6935753136948681E-3</v>
          </cell>
        </row>
        <row r="56">
          <cell r="C56" t="str">
            <v xml:space="preserve">New Business Development </v>
          </cell>
          <cell r="D56">
            <v>13</v>
          </cell>
          <cell r="E56">
            <v>6.8928950159066809E-3</v>
          </cell>
          <cell r="F56">
            <v>14</v>
          </cell>
          <cell r="G56">
            <v>7.5394474662071193E-3</v>
          </cell>
        </row>
        <row r="57">
          <cell r="C57" t="str">
            <v>Office of Chairman</v>
          </cell>
          <cell r="D57">
            <v>35</v>
          </cell>
          <cell r="E57">
            <v>1.855779427359491E-2</v>
          </cell>
          <cell r="F57">
            <v>48</v>
          </cell>
          <cell r="G57">
            <v>2.5849534169852979E-2</v>
          </cell>
        </row>
        <row r="58">
          <cell r="C58" t="str">
            <v>Pulp &amp; Paper</v>
          </cell>
          <cell r="D58">
            <v>32</v>
          </cell>
          <cell r="E58">
            <v>1.6967126193001062E-2</v>
          </cell>
          <cell r="F58">
            <v>43</v>
          </cell>
          <cell r="G58">
            <v>2.3156874360493296E-2</v>
          </cell>
        </row>
        <row r="59">
          <cell r="C59" t="str">
            <v>Restructuring</v>
          </cell>
          <cell r="D59">
            <v>0</v>
          </cell>
          <cell r="E59">
            <v>0</v>
          </cell>
          <cell r="F59">
            <v>11</v>
          </cell>
          <cell r="G59">
            <v>5.9238515805913076E-3</v>
          </cell>
        </row>
        <row r="60">
          <cell r="C60" t="str">
            <v>Risk Management (Middle Mkt) - Hou</v>
          </cell>
          <cell r="D60">
            <v>19</v>
          </cell>
          <cell r="E60">
            <v>1.007423117709438E-2</v>
          </cell>
          <cell r="F60">
            <v>14</v>
          </cell>
          <cell r="G60">
            <v>7.5394474662071193E-3</v>
          </cell>
        </row>
        <row r="61">
          <cell r="C61" t="str">
            <v>Risk Management (Middle Mkt) - NY</v>
          </cell>
          <cell r="D61">
            <v>3</v>
          </cell>
          <cell r="E61">
            <v>1.5906680805938495E-3</v>
          </cell>
          <cell r="F61">
            <v>4</v>
          </cell>
          <cell r="G61">
            <v>2.1541278474877484E-3</v>
          </cell>
        </row>
        <row r="62">
          <cell r="C62" t="str">
            <v>Short-term gas trading - Central</v>
          </cell>
          <cell r="D62">
            <v>20</v>
          </cell>
          <cell r="E62">
            <v>1.0604453870625663E-2</v>
          </cell>
          <cell r="F62">
            <v>12</v>
          </cell>
          <cell r="G62">
            <v>6.4623835424632448E-3</v>
          </cell>
        </row>
        <row r="63">
          <cell r="C63" t="str">
            <v>Short-term gas trading - East</v>
          </cell>
          <cell r="D63">
            <v>22</v>
          </cell>
          <cell r="E63">
            <v>1.166489925768823E-2</v>
          </cell>
          <cell r="F63">
            <v>16</v>
          </cell>
          <cell r="G63">
            <v>8.6165113899509937E-3</v>
          </cell>
        </row>
        <row r="64">
          <cell r="C64" t="str">
            <v>Short-term gas trading - Texas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Short-term gas trading - West</v>
          </cell>
          <cell r="D65">
            <v>12</v>
          </cell>
          <cell r="E65">
            <v>6.3626723223753979E-3</v>
          </cell>
          <cell r="F65">
            <v>8</v>
          </cell>
          <cell r="G65">
            <v>4.3082556949754968E-3</v>
          </cell>
        </row>
        <row r="66">
          <cell r="C66" t="str">
            <v>SO2</v>
          </cell>
          <cell r="D66">
            <v>4</v>
          </cell>
          <cell r="E66">
            <v>2.1208907741251328E-3</v>
          </cell>
          <cell r="F66">
            <v>2</v>
          </cell>
          <cell r="G66">
            <v>1.0770639237438742E-3</v>
          </cell>
        </row>
        <row r="67">
          <cell r="C67" t="str">
            <v>Upstream Origination</v>
          </cell>
          <cell r="D67">
            <v>25</v>
          </cell>
          <cell r="E67">
            <v>1.3255567338282079E-2</v>
          </cell>
          <cell r="F67">
            <v>15</v>
          </cell>
          <cell r="G67">
            <v>8.0779794280790556E-3</v>
          </cell>
        </row>
        <row r="68">
          <cell r="C68" t="str">
            <v>Weather Derivatives</v>
          </cell>
          <cell r="D68">
            <v>13</v>
          </cell>
          <cell r="E68">
            <v>6.8928950159066809E-3</v>
          </cell>
          <cell r="F68">
            <v>23</v>
          </cell>
          <cell r="G68">
            <v>1.2386235123054553E-2</v>
          </cell>
        </row>
        <row r="69">
          <cell r="C69" t="str">
            <v>West Midstream Origination</v>
          </cell>
          <cell r="D69">
            <v>35</v>
          </cell>
          <cell r="E69">
            <v>1.855779427359491E-2</v>
          </cell>
          <cell r="F69">
            <v>38</v>
          </cell>
          <cell r="G69">
            <v>2.0464214551133609E-2</v>
          </cell>
        </row>
        <row r="70">
          <cell r="C70" t="str">
            <v>West Power Trading</v>
          </cell>
          <cell r="D70">
            <v>53</v>
          </cell>
          <cell r="E70">
            <v>2.8101802757158005E-2</v>
          </cell>
          <cell r="F70">
            <v>58</v>
          </cell>
          <cell r="G70">
            <v>3.123485378857235E-2</v>
          </cell>
        </row>
        <row r="72">
          <cell r="C72" t="str">
            <v>Totals</v>
          </cell>
          <cell r="D72">
            <v>1886</v>
          </cell>
          <cell r="E72">
            <v>1.0000000000000002</v>
          </cell>
          <cell r="F72">
            <v>1856.9</v>
          </cell>
          <cell r="G72">
            <v>1</v>
          </cell>
        </row>
      </sheetData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5" workbookViewId="0">
      <selection activeCell="H23" sqref="H23"/>
    </sheetView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5" width="9.33203125" style="1"/>
    <col min="6" max="6" width="14.109375" style="1" bestFit="1" customWidth="1"/>
    <col min="7" max="8" width="9.33203125" style="1"/>
    <col min="9" max="9" width="13.33203125" style="1" customWidth="1"/>
    <col min="10" max="16384" width="9.33203125" style="1"/>
  </cols>
  <sheetData>
    <row r="1" spans="1:4" ht="14.4" thickBot="1">
      <c r="A1" s="98" t="s">
        <v>113</v>
      </c>
    </row>
    <row r="2" spans="1:4" ht="18" customHeight="1" thickBot="1">
      <c r="B2" s="72">
        <v>4800</v>
      </c>
      <c r="D2" s="1" t="s">
        <v>116</v>
      </c>
    </row>
    <row r="3" spans="1:4" ht="14.4" thickBot="1"/>
    <row r="4" spans="1:4" ht="18" customHeight="1">
      <c r="B4" s="73">
        <v>3.2500000000000001E-2</v>
      </c>
      <c r="D4" s="1" t="s">
        <v>117</v>
      </c>
    </row>
    <row r="5" spans="1:4" ht="18" customHeight="1">
      <c r="B5" s="74">
        <v>1.4999999999999999E-2</v>
      </c>
      <c r="D5" s="1" t="s">
        <v>118</v>
      </c>
    </row>
    <row r="6" spans="1:4" ht="18" customHeight="1">
      <c r="B6" s="74">
        <v>0.03</v>
      </c>
      <c r="D6" s="1" t="s">
        <v>119</v>
      </c>
    </row>
    <row r="7" spans="1:4" ht="18" customHeight="1" thickBot="1">
      <c r="B7" s="75">
        <v>1.4999999999999999E-2</v>
      </c>
      <c r="D7" s="1" t="s">
        <v>120</v>
      </c>
    </row>
    <row r="8" spans="1:4" ht="18" customHeight="1" thickBot="1">
      <c r="B8" s="76">
        <f>SUM(B4:B7)</f>
        <v>9.2499999999999999E-2</v>
      </c>
      <c r="D8" s="1" t="s">
        <v>121</v>
      </c>
    </row>
    <row r="11" spans="1:4" ht="14.4" thickBot="1">
      <c r="A11" s="98" t="s">
        <v>114</v>
      </c>
    </row>
    <row r="12" spans="1:4" ht="18" customHeight="1" thickBot="1">
      <c r="B12" s="72">
        <v>76200</v>
      </c>
      <c r="D12" s="1" t="s">
        <v>115</v>
      </c>
    </row>
    <row r="13" spans="1:4" ht="14.4" thickBot="1"/>
    <row r="14" spans="1:4" ht="18" customHeight="1" thickBot="1">
      <c r="B14" s="76">
        <v>0.09</v>
      </c>
      <c r="D14" s="1" t="s">
        <v>122</v>
      </c>
    </row>
    <row r="15" spans="1:4" ht="14.4" thickBot="1"/>
    <row r="16" spans="1:4" ht="18" customHeight="1" thickBot="1">
      <c r="B16" s="76">
        <v>0.02</v>
      </c>
      <c r="D16" s="1" t="s">
        <v>123</v>
      </c>
    </row>
    <row r="20" spans="1:8" ht="14.4" thickBot="1">
      <c r="A20" s="98" t="s">
        <v>127</v>
      </c>
    </row>
    <row r="21" spans="1:8" ht="14.4" thickBot="1">
      <c r="B21" s="100">
        <v>4000</v>
      </c>
      <c r="D21" s="1" t="s">
        <v>129</v>
      </c>
      <c r="F21" s="1" t="s">
        <v>104</v>
      </c>
      <c r="G21" s="1">
        <v>10400</v>
      </c>
    </row>
    <row r="22" spans="1:8" ht="14.4" thickBot="1">
      <c r="B22" s="99"/>
      <c r="G22" s="1">
        <v>6400</v>
      </c>
    </row>
    <row r="23" spans="1:8" ht="14.4" thickBot="1">
      <c r="B23" s="100">
        <v>6500</v>
      </c>
      <c r="D23" s="1" t="s">
        <v>130</v>
      </c>
      <c r="F23" s="1" t="s">
        <v>240</v>
      </c>
      <c r="G23" s="1">
        <v>7400</v>
      </c>
      <c r="H23" s="1">
        <v>5000</v>
      </c>
    </row>
    <row r="24" spans="1:8" ht="14.4" thickBot="1">
      <c r="B24" s="99"/>
    </row>
    <row r="25" spans="1:8" ht="14.4" thickBot="1">
      <c r="B25" s="100">
        <v>1266</v>
      </c>
      <c r="D25" s="1" t="s">
        <v>131</v>
      </c>
    </row>
    <row r="26" spans="1:8" ht="14.4" thickBot="1">
      <c r="B26" s="99"/>
    </row>
    <row r="27" spans="1:8" ht="14.4" thickBot="1">
      <c r="B27" s="100">
        <v>2307</v>
      </c>
      <c r="D27" s="1" t="s">
        <v>132</v>
      </c>
    </row>
    <row r="30" spans="1:8">
      <c r="D30" s="101" t="s">
        <v>128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5"/>
  <sheetViews>
    <sheetView topLeftCell="B4" zoomScale="75" workbookViewId="0">
      <selection activeCell="E15" sqref="E15"/>
    </sheetView>
  </sheetViews>
  <sheetFormatPr defaultColWidth="9.33203125" defaultRowHeight="13.8"/>
  <cols>
    <col min="1" max="1" width="12" style="1" hidden="1" customWidth="1"/>
    <col min="2" max="2" width="33.44140625" style="1" customWidth="1"/>
    <col min="3" max="3" width="1.44140625" style="1" customWidth="1"/>
    <col min="4" max="6" width="19.332031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239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4.4" thickBot="1">
      <c r="C8" s="6"/>
      <c r="D8" s="2"/>
    </row>
    <row r="9" spans="1:6" s="50" customFormat="1" ht="15.6">
      <c r="A9" s="47"/>
      <c r="B9" s="126"/>
      <c r="C9" s="127"/>
      <c r="D9" s="256" t="s">
        <v>151</v>
      </c>
      <c r="E9" s="257"/>
      <c r="F9" s="258"/>
    </row>
    <row r="10" spans="1:6" s="50" customFormat="1" ht="15.6">
      <c r="A10" s="51"/>
      <c r="B10" s="128" t="s">
        <v>97</v>
      </c>
      <c r="C10" s="129">
        <v>36892</v>
      </c>
      <c r="D10" s="105" t="s">
        <v>137</v>
      </c>
      <c r="E10" s="104" t="s">
        <v>139</v>
      </c>
      <c r="F10" s="106" t="s">
        <v>88</v>
      </c>
    </row>
    <row r="11" spans="1:6" s="57" customFormat="1" ht="15.6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6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6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6">
      <c r="A14" s="54"/>
      <c r="B14" s="132" t="s">
        <v>101</v>
      </c>
      <c r="C14" s="134">
        <f>SUM(C12:C13)</f>
        <v>2</v>
      </c>
      <c r="D14" s="109"/>
      <c r="E14" s="120">
        <f>+'2000 Budget'!O11</f>
        <v>0</v>
      </c>
      <c r="F14" s="110">
        <f t="shared" ref="F14:F20" si="0">+D14-E14</f>
        <v>0</v>
      </c>
    </row>
    <row r="15" spans="1:6" s="57" customFormat="1" ht="15.6">
      <c r="A15" s="54"/>
      <c r="B15" s="132" t="s">
        <v>102</v>
      </c>
      <c r="C15" s="133">
        <v>1</v>
      </c>
      <c r="D15" s="109">
        <f>'2000 Forecast'!K12</f>
        <v>0</v>
      </c>
      <c r="E15" s="120">
        <f>+'2000 Budget'!O12</f>
        <v>0</v>
      </c>
      <c r="F15" s="110">
        <f t="shared" si="0"/>
        <v>0</v>
      </c>
    </row>
    <row r="16" spans="1:6" s="57" customFormat="1" ht="15.6">
      <c r="A16" s="54"/>
      <c r="B16" s="132" t="s">
        <v>103</v>
      </c>
      <c r="C16" s="133">
        <v>1</v>
      </c>
      <c r="D16" s="109">
        <f>'2000 Forecast'!K13</f>
        <v>0</v>
      </c>
      <c r="E16" s="120">
        <f>+'2000 Budget'!O13</f>
        <v>0</v>
      </c>
      <c r="F16" s="110">
        <f t="shared" si="0"/>
        <v>0</v>
      </c>
    </row>
    <row r="17" spans="1:6" s="57" customFormat="1" ht="15.6">
      <c r="A17" s="54"/>
      <c r="B17" s="132" t="s">
        <v>104</v>
      </c>
      <c r="C17" s="133">
        <v>1</v>
      </c>
      <c r="D17" s="109">
        <f>'2000 Forecast'!K14</f>
        <v>0</v>
      </c>
      <c r="E17" s="120">
        <f>+'2000 Budget'!O14</f>
        <v>0</v>
      </c>
      <c r="F17" s="110">
        <f t="shared" si="0"/>
        <v>0</v>
      </c>
    </row>
    <row r="18" spans="1:6" s="57" customFormat="1" ht="15.6">
      <c r="A18" s="54"/>
      <c r="B18" s="132" t="s">
        <v>105</v>
      </c>
      <c r="C18" s="133">
        <v>1</v>
      </c>
      <c r="D18" s="109">
        <f>'2000 Forecast'!K15</f>
        <v>0</v>
      </c>
      <c r="E18" s="120">
        <f>+'2000 Budget'!O15</f>
        <v>0</v>
      </c>
      <c r="F18" s="110">
        <f t="shared" si="0"/>
        <v>0</v>
      </c>
    </row>
    <row r="19" spans="1:6" s="57" customFormat="1" ht="15.6">
      <c r="A19" s="54"/>
      <c r="B19" s="132" t="s">
        <v>106</v>
      </c>
      <c r="C19" s="133">
        <v>1</v>
      </c>
      <c r="D19" s="109"/>
      <c r="E19" s="120"/>
      <c r="F19" s="110">
        <f t="shared" si="0"/>
        <v>0</v>
      </c>
    </row>
    <row r="20" spans="1:6" s="57" customFormat="1" ht="15.6">
      <c r="A20" s="54"/>
      <c r="B20" s="132" t="s">
        <v>107</v>
      </c>
      <c r="C20" s="133">
        <v>1</v>
      </c>
      <c r="D20" s="109">
        <f>'2000 Forecast'!K16</f>
        <v>0</v>
      </c>
      <c r="E20" s="120">
        <f>+'2000 Forecast'!O16</f>
        <v>0</v>
      </c>
      <c r="F20" s="110">
        <f t="shared" si="0"/>
        <v>0</v>
      </c>
    </row>
    <row r="21" spans="1:6" s="57" customFormat="1" ht="15.6">
      <c r="A21" s="54"/>
      <c r="B21" s="132" t="s">
        <v>108</v>
      </c>
      <c r="C21" s="133">
        <v>1</v>
      </c>
      <c r="D21" s="109">
        <f>'2000 Forecast'!K17</f>
        <v>0</v>
      </c>
      <c r="E21" s="120">
        <f>+'2000 Forecast'!O17</f>
        <v>0</v>
      </c>
      <c r="F21" s="110">
        <f>+D21-E21</f>
        <v>0</v>
      </c>
    </row>
    <row r="22" spans="1:6" s="57" customFormat="1" ht="15.6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+'2000 Forecast'!O18</f>
        <v>0</v>
      </c>
      <c r="F22" s="110">
        <f>+D22-E22</f>
        <v>0</v>
      </c>
    </row>
    <row r="23" spans="1:6" s="57" customFormat="1" ht="15.6">
      <c r="A23" s="54"/>
      <c r="B23" s="132" t="s">
        <v>111</v>
      </c>
      <c r="C23" s="134"/>
      <c r="D23" s="109">
        <f>'2000 Forecast'!K20</f>
        <v>0</v>
      </c>
      <c r="E23" s="120">
        <f>+'2000 Budget'!O20</f>
        <v>0</v>
      </c>
      <c r="F23" s="110">
        <f>+D23-E23</f>
        <v>0</v>
      </c>
    </row>
    <row r="24" spans="1:6" s="57" customFormat="1" ht="15.6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0</v>
      </c>
      <c r="F24" s="162">
        <f>SUM(F11:F23)</f>
        <v>0</v>
      </c>
    </row>
    <row r="25" spans="1:6" s="57" customFormat="1" ht="15.6">
      <c r="A25" s="54"/>
      <c r="B25" s="132" t="s">
        <v>111</v>
      </c>
      <c r="C25" s="133">
        <v>1</v>
      </c>
      <c r="D25" s="109">
        <f>+D23</f>
        <v>0</v>
      </c>
      <c r="E25" s="120"/>
      <c r="F25" s="110">
        <v>0</v>
      </c>
    </row>
    <row r="26" spans="1:6" s="57" customFormat="1" ht="15.6">
      <c r="A26" s="54"/>
      <c r="B26" s="132" t="s">
        <v>104</v>
      </c>
      <c r="C26" s="133"/>
      <c r="D26" s="109">
        <f>+D17</f>
        <v>0</v>
      </c>
      <c r="E26" s="120">
        <f>E17</f>
        <v>0</v>
      </c>
      <c r="F26" s="110">
        <v>0</v>
      </c>
    </row>
    <row r="27" spans="1:6" s="57" customFormat="1" ht="15.6">
      <c r="A27" s="54"/>
      <c r="B27" s="132" t="s">
        <v>105</v>
      </c>
      <c r="C27" s="133"/>
      <c r="D27" s="109">
        <f>+D18</f>
        <v>0</v>
      </c>
      <c r="E27" s="120">
        <f>E18</f>
        <v>0</v>
      </c>
      <c r="F27" s="110">
        <v>0</v>
      </c>
    </row>
    <row r="28" spans="1:6" s="166" customFormat="1" ht="15.6">
      <c r="A28" s="163"/>
      <c r="B28" s="164" t="s">
        <v>135</v>
      </c>
      <c r="C28" s="165"/>
      <c r="D28" s="158"/>
      <c r="E28" s="159"/>
      <c r="F28" s="165">
        <f>+D28-E28</f>
        <v>0</v>
      </c>
    </row>
    <row r="29" spans="1:6" s="166" customFormat="1" ht="16.2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0</v>
      </c>
      <c r="F29" s="169">
        <f>+F24-F25-F26-F27-F28</f>
        <v>0</v>
      </c>
    </row>
    <row r="30" spans="1:6" s="64" customFormat="1" ht="16.2" thickBot="1">
      <c r="A30" s="65"/>
      <c r="B30" s="65"/>
      <c r="C30" s="58"/>
      <c r="D30" s="67"/>
      <c r="E30" s="67"/>
      <c r="F30" s="67"/>
    </row>
    <row r="31" spans="1:6" s="71" customFormat="1" ht="15.6">
      <c r="A31" s="68" t="s">
        <v>89</v>
      </c>
      <c r="B31" s="151"/>
      <c r="C31" s="152"/>
      <c r="D31" s="256" t="s">
        <v>151</v>
      </c>
      <c r="E31" s="257"/>
      <c r="F31" s="258"/>
    </row>
    <row r="32" spans="1:6" s="71" customFormat="1" ht="16.2" thickBot="1">
      <c r="A32" s="51" t="s">
        <v>90</v>
      </c>
      <c r="B32" s="153" t="s">
        <v>0</v>
      </c>
      <c r="C32" s="154"/>
      <c r="D32" s="155" t="s">
        <v>133</v>
      </c>
      <c r="E32" s="156" t="s">
        <v>134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'2000 Forecast'!P26</f>
        <v>0</v>
      </c>
      <c r="E33" s="195">
        <f>'2000 Budget'!P26</f>
        <v>0</v>
      </c>
      <c r="F33" s="112">
        <f>+E33-D33</f>
        <v>0</v>
      </c>
    </row>
    <row r="34" spans="1:6">
      <c r="A34" s="26" t="s">
        <v>54</v>
      </c>
      <c r="B34" s="137" t="s">
        <v>2</v>
      </c>
      <c r="C34" s="138"/>
      <c r="D34" s="111"/>
      <c r="E34" s="121"/>
      <c r="F34" s="112">
        <f>+D34-E34</f>
        <v>0</v>
      </c>
    </row>
    <row r="35" spans="1:6">
      <c r="A35" s="87"/>
      <c r="B35" s="139" t="s">
        <v>3</v>
      </c>
      <c r="C35" s="140"/>
      <c r="D35" s="113">
        <f>SUM(D33:D34)</f>
        <v>0</v>
      </c>
      <c r="E35" s="122">
        <f>SUM(E33:E34)</f>
        <v>0</v>
      </c>
      <c r="F35" s="114">
        <f>SUM(F33:F34)</f>
        <v>0</v>
      </c>
    </row>
    <row r="36" spans="1:6">
      <c r="A36" s="87" t="s">
        <v>55</v>
      </c>
      <c r="B36" s="141" t="s">
        <v>4</v>
      </c>
      <c r="C36" s="140"/>
      <c r="D36" s="115">
        <f>'2000 Forecast'!P29+'2000 Forecast'!P30+'2000 Forecast'!P31</f>
        <v>0</v>
      </c>
      <c r="E36" s="123">
        <f>+'2000 Budget'!P29</f>
        <v>0</v>
      </c>
      <c r="F36" s="116">
        <f>+E36-D36</f>
        <v>0</v>
      </c>
    </row>
    <row r="37" spans="1:6">
      <c r="A37" s="87" t="s">
        <v>56</v>
      </c>
      <c r="B37" s="142" t="s">
        <v>5</v>
      </c>
      <c r="C37" s="140"/>
      <c r="D37" s="115">
        <f>+'2000 Forecast'!P33</f>
        <v>0</v>
      </c>
      <c r="E37" s="123">
        <f>+'2000 Budget'!P30</f>
        <v>0</v>
      </c>
      <c r="F37" s="116">
        <f>+E37-D37</f>
        <v>0</v>
      </c>
    </row>
    <row r="38" spans="1:6">
      <c r="A38" s="87"/>
      <c r="B38" s="143" t="s">
        <v>6</v>
      </c>
      <c r="C38" s="140"/>
      <c r="D38" s="113">
        <f>SUM(D36:D37)</f>
        <v>0</v>
      </c>
      <c r="E38" s="122">
        <f>SUM(E36:E37)</f>
        <v>0</v>
      </c>
      <c r="F38" s="114">
        <f>SUM(F36:F37)</f>
        <v>0</v>
      </c>
    </row>
    <row r="39" spans="1:6">
      <c r="A39" s="26" t="s">
        <v>57</v>
      </c>
      <c r="B39" s="144" t="s">
        <v>7</v>
      </c>
      <c r="C39" s="145"/>
      <c r="D39" s="111">
        <f>'2000 Forecast'!P35+'2000 Forecast'!P36</f>
        <v>0</v>
      </c>
      <c r="E39" s="121">
        <f>+'2000 Budget'!P32</f>
        <v>0</v>
      </c>
      <c r="F39" s="112">
        <f>+E39-D39</f>
        <v>0</v>
      </c>
    </row>
    <row r="40" spans="1:6">
      <c r="A40" s="26" t="s">
        <v>58</v>
      </c>
      <c r="B40" s="144" t="s">
        <v>8</v>
      </c>
      <c r="C40" s="145"/>
      <c r="D40" s="111">
        <f>'2000 Forecast'!P37</f>
        <v>0</v>
      </c>
      <c r="E40" s="121">
        <f>+'2000 Budget'!P33</f>
        <v>0</v>
      </c>
      <c r="F40" s="112">
        <f t="shared" ref="F40:F45" si="1">+E40-D40</f>
        <v>0</v>
      </c>
    </row>
    <row r="41" spans="1:6">
      <c r="A41" s="26" t="s">
        <v>57</v>
      </c>
      <c r="B41" s="144" t="s">
        <v>9</v>
      </c>
      <c r="C41" s="145"/>
      <c r="D41" s="111">
        <f>+'2000 Forecast'!P38</f>
        <v>0</v>
      </c>
      <c r="E41" s="121">
        <f>+'2000 Budget'!P34</f>
        <v>0</v>
      </c>
      <c r="F41" s="112">
        <f t="shared" si="1"/>
        <v>0</v>
      </c>
    </row>
    <row r="42" spans="1:6">
      <c r="A42" s="26" t="s">
        <v>59</v>
      </c>
      <c r="B42" s="144" t="s">
        <v>10</v>
      </c>
      <c r="C42" s="145"/>
      <c r="D42" s="111">
        <f>+'2000 Forecast'!P39</f>
        <v>0</v>
      </c>
      <c r="E42" s="121">
        <f>+'2000 Budget'!P35</f>
        <v>0</v>
      </c>
      <c r="F42" s="112">
        <f t="shared" si="1"/>
        <v>0</v>
      </c>
    </row>
    <row r="43" spans="1:6">
      <c r="A43" s="26" t="s">
        <v>60</v>
      </c>
      <c r="B43" s="144" t="s">
        <v>11</v>
      </c>
      <c r="C43" s="145"/>
      <c r="D43" s="111">
        <f>+'2000 Forecast'!P40</f>
        <v>0</v>
      </c>
      <c r="E43" s="121">
        <f>+'2000 Budget'!P36</f>
        <v>0</v>
      </c>
      <c r="F43" s="112">
        <f t="shared" si="1"/>
        <v>0</v>
      </c>
    </row>
    <row r="44" spans="1:6">
      <c r="A44" s="27" t="s">
        <v>61</v>
      </c>
      <c r="B44" s="144" t="s">
        <v>12</v>
      </c>
      <c r="C44" s="145"/>
      <c r="D44" s="111">
        <f>+'2000 Forecast'!P41</f>
        <v>0</v>
      </c>
      <c r="E44" s="121">
        <f>+'2000 Budget'!P37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Forecast'!P42</f>
        <v>0</v>
      </c>
      <c r="E45" s="121">
        <f>+'2000 Budget'!P38</f>
        <v>0</v>
      </c>
      <c r="F45" s="112">
        <f t="shared" si="1"/>
        <v>0</v>
      </c>
    </row>
    <row r="46" spans="1:6">
      <c r="A46" s="87"/>
      <c r="B46" s="143" t="s">
        <v>14</v>
      </c>
      <c r="C46" s="140"/>
      <c r="D46" s="113">
        <f>SUM(D39:D45)</f>
        <v>0</v>
      </c>
      <c r="E46" s="122">
        <f>SUM(E39:E45)</f>
        <v>0</v>
      </c>
      <c r="F46" s="114">
        <f>SUM(F39:F45)</f>
        <v>0</v>
      </c>
    </row>
    <row r="47" spans="1:6">
      <c r="A47" s="26" t="s">
        <v>60</v>
      </c>
      <c r="B47" s="144" t="s">
        <v>15</v>
      </c>
      <c r="C47" s="145"/>
      <c r="D47" s="111">
        <f>+'2000 Forecast'!P44</f>
        <v>0</v>
      </c>
      <c r="E47" s="121">
        <f>+'2000 Budget'!P40</f>
        <v>0</v>
      </c>
      <c r="F47" s="112">
        <f t="shared" ref="F47:F52" si="2">+E47-D47</f>
        <v>0</v>
      </c>
    </row>
    <row r="48" spans="1:6">
      <c r="A48" s="26" t="s">
        <v>63</v>
      </c>
      <c r="B48" s="144" t="s">
        <v>16</v>
      </c>
      <c r="C48" s="145"/>
      <c r="D48" s="111">
        <f>+'2000 Forecast'!P45</f>
        <v>0</v>
      </c>
      <c r="E48" s="121">
        <f>+'2000 Budget'!P41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Forecast'!P46</f>
        <v>0</v>
      </c>
      <c r="E49" s="121">
        <f>+'2000 Budget'!P42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Forecast'!P47</f>
        <v>0</v>
      </c>
      <c r="E50" s="121">
        <f>+'2000 Budget'!P43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Forecast'!P48</f>
        <v>0</v>
      </c>
      <c r="E51" s="121">
        <f>+'2000 Budget'!P44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Forecast'!P49</f>
        <v>0</v>
      </c>
      <c r="E52" s="121">
        <f>+'2000 Budget'!P45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Forecast'!P51+'2000 Forecast'!P52</f>
        <v>0</v>
      </c>
      <c r="E54" s="121">
        <f>+'2000 Budget'!P47</f>
        <v>0</v>
      </c>
      <c r="F54" s="112">
        <f>+E54-D54</f>
        <v>0</v>
      </c>
    </row>
    <row r="55" spans="1:6">
      <c r="A55" s="26" t="s">
        <v>65</v>
      </c>
      <c r="B55" s="144" t="s">
        <v>23</v>
      </c>
      <c r="C55" s="145"/>
      <c r="D55" s="111">
        <f>+'2000 Forecast'!P53</f>
        <v>0</v>
      </c>
      <c r="E55" s="121">
        <f>+'2000 Budget'!P48</f>
        <v>0</v>
      </c>
      <c r="F55" s="112">
        <f>+E55-D55</f>
        <v>0</v>
      </c>
    </row>
    <row r="56" spans="1:6">
      <c r="A56" s="26" t="s">
        <v>64</v>
      </c>
      <c r="B56" s="144" t="s">
        <v>24</v>
      </c>
      <c r="C56" s="145"/>
      <c r="D56" s="111">
        <f>+'2000 Forecast'!P54+'2000 Forecast'!P55+'2000 Forecast'!P56</f>
        <v>0</v>
      </c>
      <c r="E56" s="121">
        <f>+'2000 Budget'!P49</f>
        <v>0</v>
      </c>
      <c r="F56" s="112">
        <f>+E56-D56</f>
        <v>0</v>
      </c>
    </row>
    <row r="57" spans="1:6">
      <c r="A57" s="87"/>
      <c r="B57" s="143" t="s">
        <v>25</v>
      </c>
      <c r="C57" s="140"/>
      <c r="D57" s="113">
        <f>SUM(D54:D56)</f>
        <v>0</v>
      </c>
      <c r="E57" s="122">
        <f>SUM(E54:E56)</f>
        <v>0</v>
      </c>
      <c r="F57" s="114">
        <f>SUM(F54:F56)</f>
        <v>0</v>
      </c>
    </row>
    <row r="58" spans="1:6">
      <c r="A58" s="26" t="s">
        <v>66</v>
      </c>
      <c r="B58" s="144" t="s">
        <v>26</v>
      </c>
      <c r="C58" s="145"/>
      <c r="D58" s="111">
        <f>+'2000 Forecast'!P58</f>
        <v>0</v>
      </c>
      <c r="E58" s="121">
        <f>+'2000 Budget'!P51</f>
        <v>0</v>
      </c>
      <c r="F58" s="112">
        <f>+E58-D58</f>
        <v>0</v>
      </c>
    </row>
    <row r="59" spans="1:6">
      <c r="A59" s="26" t="s">
        <v>67</v>
      </c>
      <c r="B59" s="144" t="s">
        <v>27</v>
      </c>
      <c r="C59" s="145"/>
      <c r="D59" s="111">
        <f>+'2000 Forecast'!P59</f>
        <v>0</v>
      </c>
      <c r="E59" s="121">
        <f>+'2000 Budget'!P52</f>
        <v>0</v>
      </c>
      <c r="F59" s="112">
        <f t="shared" ref="F59:F64" si="3">+E59-D59</f>
        <v>0</v>
      </c>
    </row>
    <row r="60" spans="1:6">
      <c r="A60" s="26" t="s">
        <v>68</v>
      </c>
      <c r="B60" s="144" t="s">
        <v>28</v>
      </c>
      <c r="C60" s="145"/>
      <c r="D60" s="111">
        <f>+'2000 Forecast'!P60</f>
        <v>0</v>
      </c>
      <c r="E60" s="121">
        <f>+'2000 Budget'!P53</f>
        <v>0</v>
      </c>
      <c r="F60" s="112">
        <f t="shared" si="3"/>
        <v>0</v>
      </c>
    </row>
    <row r="61" spans="1:6">
      <c r="A61" s="26" t="s">
        <v>69</v>
      </c>
      <c r="B61" s="144" t="s">
        <v>29</v>
      </c>
      <c r="C61" s="145"/>
      <c r="D61" s="111">
        <f>+'2000 Forecast'!P61</f>
        <v>0</v>
      </c>
      <c r="E61" s="121">
        <f>+'2000 Budget'!P54</f>
        <v>0</v>
      </c>
      <c r="F61" s="112">
        <f t="shared" si="3"/>
        <v>0</v>
      </c>
    </row>
    <row r="62" spans="1:6">
      <c r="A62" s="26" t="s">
        <v>67</v>
      </c>
      <c r="B62" s="144" t="s">
        <v>30</v>
      </c>
      <c r="C62" s="145"/>
      <c r="D62" s="111">
        <f>+'2000 Forecast'!P62</f>
        <v>0</v>
      </c>
      <c r="E62" s="121">
        <f>+'2000 Budget'!P55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Forecast'!P63</f>
        <v>0</v>
      </c>
      <c r="E63" s="121">
        <f>+'2000 Budget'!P56</f>
        <v>0</v>
      </c>
      <c r="F63" s="112">
        <f t="shared" si="3"/>
        <v>0</v>
      </c>
    </row>
    <row r="64" spans="1:6">
      <c r="A64" s="26" t="s">
        <v>68</v>
      </c>
      <c r="B64" s="144" t="s">
        <v>32</v>
      </c>
      <c r="C64" s="145"/>
      <c r="D64" s="111">
        <f>+'2000 Forecast'!P64</f>
        <v>0</v>
      </c>
      <c r="E64" s="121">
        <f>+'2000 Budget'!P57</f>
        <v>0</v>
      </c>
      <c r="F64" s="112">
        <f t="shared" si="3"/>
        <v>0</v>
      </c>
    </row>
    <row r="65" spans="1:6">
      <c r="A65" s="87"/>
      <c r="B65" s="143" t="s">
        <v>33</v>
      </c>
      <c r="C65" s="140"/>
      <c r="D65" s="113">
        <f>SUM(D58:D64)</f>
        <v>0</v>
      </c>
      <c r="E65" s="122">
        <f>SUM(E58:E64)</f>
        <v>0</v>
      </c>
      <c r="F65" s="114">
        <f>SUM(F58:F64)</f>
        <v>0</v>
      </c>
    </row>
    <row r="66" spans="1:6">
      <c r="A66" s="26" t="s">
        <v>70</v>
      </c>
      <c r="B66" s="144" t="s">
        <v>34</v>
      </c>
      <c r="C66" s="145"/>
      <c r="D66" s="111">
        <f>+'2000 Forecast'!P66</f>
        <v>0</v>
      </c>
      <c r="E66" s="121">
        <f>+'2000 Budget'!P59</f>
        <v>0</v>
      </c>
      <c r="F66" s="112">
        <f>+E66-D66</f>
        <v>0</v>
      </c>
    </row>
    <row r="67" spans="1:6">
      <c r="A67" s="26" t="s">
        <v>71</v>
      </c>
      <c r="B67" s="144" t="s">
        <v>35</v>
      </c>
      <c r="C67" s="145"/>
      <c r="D67" s="111">
        <f>+'2000 Forecast'!P67</f>
        <v>0</v>
      </c>
      <c r="E67" s="121">
        <f>+'2000 Budget'!P60</f>
        <v>0</v>
      </c>
      <c r="F67" s="112">
        <f>+E67-D67</f>
        <v>0</v>
      </c>
    </row>
    <row r="68" spans="1:6">
      <c r="A68" s="26" t="s">
        <v>71</v>
      </c>
      <c r="B68" s="144" t="s">
        <v>36</v>
      </c>
      <c r="C68" s="145"/>
      <c r="D68" s="111">
        <f>+'2000 Forecast'!P68</f>
        <v>0</v>
      </c>
      <c r="E68" s="121">
        <f>+'2000 Budget'!P61</f>
        <v>0</v>
      </c>
      <c r="F68" s="112">
        <f>+E68-D68</f>
        <v>0</v>
      </c>
    </row>
    <row r="69" spans="1:6">
      <c r="A69" s="26" t="s">
        <v>70</v>
      </c>
      <c r="B69" s="144" t="s">
        <v>37</v>
      </c>
      <c r="C69" s="145"/>
      <c r="D69" s="111">
        <f>+'2000 Forecast'!P69</f>
        <v>0</v>
      </c>
      <c r="E69" s="121">
        <f>+'2000 Budget'!P62</f>
        <v>0</v>
      </c>
      <c r="F69" s="112">
        <f>+E69-D69</f>
        <v>0</v>
      </c>
    </row>
    <row r="70" spans="1:6">
      <c r="A70" s="87"/>
      <c r="B70" s="143" t="s">
        <v>38</v>
      </c>
      <c r="C70" s="140"/>
      <c r="D70" s="113">
        <f>SUM(D66:D69)</f>
        <v>0</v>
      </c>
      <c r="E70" s="122">
        <f>SUM(E66:E69)</f>
        <v>0</v>
      </c>
      <c r="F70" s="114">
        <f>SUM(F66:F69)</f>
        <v>0</v>
      </c>
    </row>
    <row r="71" spans="1:6">
      <c r="A71" s="26" t="s">
        <v>72</v>
      </c>
      <c r="B71" s="146" t="s">
        <v>39</v>
      </c>
      <c r="C71" s="145"/>
      <c r="D71" s="111">
        <f>+'2000 Forecast'!P71</f>
        <v>0</v>
      </c>
      <c r="E71" s="121">
        <f>+'2000 Budget'!P64</f>
        <v>0</v>
      </c>
      <c r="F71" s="112">
        <f>+E71-D71</f>
        <v>0</v>
      </c>
    </row>
    <row r="72" spans="1:6">
      <c r="A72" s="26" t="s">
        <v>73</v>
      </c>
      <c r="B72" s="144" t="s">
        <v>40</v>
      </c>
      <c r="C72" s="145"/>
      <c r="D72" s="111">
        <f>+'2000 Forecast'!P72</f>
        <v>0</v>
      </c>
      <c r="E72" s="121">
        <f>+'2000 Budget'!P65</f>
        <v>0</v>
      </c>
      <c r="F72" s="112">
        <f>+E72-D72</f>
        <v>0</v>
      </c>
    </row>
    <row r="73" spans="1:6">
      <c r="A73" s="26" t="s">
        <v>74</v>
      </c>
      <c r="B73" s="144" t="s">
        <v>41</v>
      </c>
      <c r="C73" s="145"/>
      <c r="D73" s="111">
        <f>+'2000 Forecast'!P73</f>
        <v>0</v>
      </c>
      <c r="E73" s="121">
        <f>+'2000 Budget'!P66</f>
        <v>0</v>
      </c>
      <c r="F73" s="112">
        <f>+E73-D73</f>
        <v>0</v>
      </c>
    </row>
    <row r="74" spans="1:6">
      <c r="A74" s="87"/>
      <c r="B74" s="143" t="s">
        <v>42</v>
      </c>
      <c r="C74" s="140"/>
      <c r="D74" s="113">
        <f>SUM(D72:D73)</f>
        <v>0</v>
      </c>
      <c r="E74" s="122">
        <f>SUM(E72:E73)</f>
        <v>0</v>
      </c>
      <c r="F74" s="114">
        <f>SUM(F72:F73)</f>
        <v>0</v>
      </c>
    </row>
    <row r="75" spans="1:6">
      <c r="A75" s="26" t="s">
        <v>75</v>
      </c>
      <c r="B75" s="144" t="s">
        <v>43</v>
      </c>
      <c r="C75" s="138"/>
      <c r="D75" s="111">
        <f>+'2000 Forecast'!P77+'2000 Forecast'!P76+'2000 Forecast'!P75</f>
        <v>0</v>
      </c>
      <c r="E75" s="121">
        <f>+'2000 Budget'!P68</f>
        <v>0</v>
      </c>
      <c r="F75" s="112">
        <f t="shared" ref="F75:F80" si="4">+E75-D75</f>
        <v>0</v>
      </c>
    </row>
    <row r="76" spans="1:6">
      <c r="A76" s="26" t="s">
        <v>76</v>
      </c>
      <c r="B76" s="144" t="s">
        <v>44</v>
      </c>
      <c r="C76" s="138"/>
      <c r="D76" s="111">
        <f>+'2000 Forecast'!P78</f>
        <v>0</v>
      </c>
      <c r="E76" s="121">
        <f>+'2000 Budget'!P69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Forecast'!P79</f>
        <v>0</v>
      </c>
      <c r="E77" s="121">
        <f>+'2000 Budget'!P70</f>
        <v>0</v>
      </c>
      <c r="F77" s="112">
        <f t="shared" si="4"/>
        <v>0</v>
      </c>
    </row>
    <row r="78" spans="1:6">
      <c r="A78" s="26" t="s">
        <v>78</v>
      </c>
      <c r="B78" s="144" t="s">
        <v>51</v>
      </c>
      <c r="C78" s="138"/>
      <c r="D78" s="111">
        <f>+'2000 Forecast'!P80</f>
        <v>0</v>
      </c>
      <c r="E78" s="121">
        <f>+'2000 Budget'!P71</f>
        <v>0</v>
      </c>
      <c r="F78" s="112">
        <f t="shared" si="4"/>
        <v>0</v>
      </c>
    </row>
    <row r="79" spans="1:6">
      <c r="A79" s="26" t="s">
        <v>63</v>
      </c>
      <c r="B79" s="144" t="s">
        <v>52</v>
      </c>
      <c r="C79" s="138"/>
      <c r="D79" s="111"/>
      <c r="E79" s="121"/>
      <c r="F79" s="112">
        <f t="shared" si="4"/>
        <v>0</v>
      </c>
    </row>
    <row r="80" spans="1:6">
      <c r="A80" s="26" t="s">
        <v>63</v>
      </c>
      <c r="B80" s="144" t="s">
        <v>45</v>
      </c>
      <c r="C80" s="138"/>
      <c r="D80" s="111">
        <f>+'2000 Forecast'!P82</f>
        <v>0</v>
      </c>
      <c r="E80" s="121">
        <f>+'2000 Budget'!P72</f>
        <v>0</v>
      </c>
      <c r="F80" s="112">
        <f t="shared" si="4"/>
        <v>0</v>
      </c>
    </row>
    <row r="81" spans="1:6">
      <c r="A81" s="87"/>
      <c r="B81" s="143" t="s">
        <v>46</v>
      </c>
      <c r="C81" s="140"/>
      <c r="D81" s="113">
        <f>D35+D38+D46+D53+D57+D65+D70+D71+D74+SUM(D75:D80)</f>
        <v>0</v>
      </c>
      <c r="E81" s="122">
        <f>E35+E38+E46+E53+E57+E65+E70+E71+E74+SUM(E75:E80)</f>
        <v>0</v>
      </c>
      <c r="F81" s="114">
        <f>F35+F38+F46+F53+F57+F65+F70+F71+F74+SUM(F75:F80)</f>
        <v>0</v>
      </c>
    </row>
    <row r="82" spans="1:6">
      <c r="A82" s="26" t="s">
        <v>79</v>
      </c>
      <c r="B82" s="144" t="s">
        <v>47</v>
      </c>
      <c r="C82" s="138"/>
      <c r="D82" s="111"/>
      <c r="E82" s="121"/>
      <c r="F82" s="112">
        <f>+E82-D82</f>
        <v>0</v>
      </c>
    </row>
    <row r="83" spans="1:6">
      <c r="A83" s="26" t="s">
        <v>80</v>
      </c>
      <c r="B83" s="144" t="s">
        <v>48</v>
      </c>
      <c r="C83" s="138"/>
      <c r="D83" s="111"/>
      <c r="E83" s="121"/>
      <c r="F83" s="112">
        <f>+E83-D83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/>
      <c r="F85" s="112">
        <f>+E85-D85</f>
        <v>0</v>
      </c>
    </row>
    <row r="86" spans="1:6" ht="14.4" thickBot="1">
      <c r="A86" s="28"/>
      <c r="B86" s="149" t="s">
        <v>49</v>
      </c>
      <c r="C86" s="150"/>
      <c r="D86" s="117">
        <f>D84+D81+D85</f>
        <v>0</v>
      </c>
      <c r="E86" s="124">
        <f>E84+E81+E85</f>
        <v>0</v>
      </c>
      <c r="F86" s="118">
        <f>F84+F81+F85</f>
        <v>0</v>
      </c>
    </row>
    <row r="87" spans="1:6">
      <c r="D87" s="46"/>
      <c r="E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  <c r="E88" s="46"/>
    </row>
    <row r="89" spans="1:6">
      <c r="D89" s="46"/>
      <c r="E89" s="46"/>
    </row>
    <row r="90" spans="1:6">
      <c r="D90" s="46"/>
      <c r="E90" s="46"/>
    </row>
    <row r="91" spans="1:6">
      <c r="D91" s="46"/>
      <c r="E91" s="46"/>
    </row>
    <row r="92" spans="1:6">
      <c r="D92" s="46"/>
      <c r="E92" s="46"/>
    </row>
    <row r="93" spans="1:6">
      <c r="D93" s="46"/>
      <c r="E93" s="46"/>
    </row>
    <row r="94" spans="1:6">
      <c r="D94" s="46"/>
      <c r="E94" s="46"/>
    </row>
    <row r="95" spans="1:6">
      <c r="D95" s="46"/>
      <c r="E95" s="46"/>
    </row>
    <row r="96" spans="1:6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spans="4:5">
      <c r="D103" s="46"/>
      <c r="E103" s="46"/>
    </row>
    <row r="104" spans="4:5">
      <c r="D104" s="46"/>
      <c r="E104" s="46"/>
    </row>
    <row r="105" spans="4:5">
      <c r="D105" s="46"/>
      <c r="E105" s="46"/>
    </row>
    <row r="106" spans="4:5">
      <c r="D106" s="46"/>
      <c r="E106" s="46"/>
    </row>
    <row r="107" spans="4:5">
      <c r="D107" s="46"/>
      <c r="E107" s="46"/>
    </row>
    <row r="108" spans="4:5">
      <c r="D108" s="46"/>
      <c r="E108" s="46"/>
    </row>
    <row r="109" spans="4:5">
      <c r="D109" s="46"/>
      <c r="E109" s="46"/>
    </row>
    <row r="110" spans="4:5">
      <c r="D110" s="46"/>
      <c r="E110" s="46"/>
    </row>
    <row r="111" spans="4:5">
      <c r="D111" s="46"/>
      <c r="E111" s="46"/>
    </row>
    <row r="112" spans="4:5">
      <c r="D112" s="46"/>
      <c r="E112" s="46"/>
    </row>
    <row r="113" spans="4:5">
      <c r="D113" s="46"/>
      <c r="E113" s="46"/>
    </row>
    <row r="114" spans="4:5">
      <c r="D114" s="46"/>
      <c r="E114" s="46"/>
    </row>
    <row r="115" spans="4:5">
      <c r="D115" s="46"/>
      <c r="E115" s="46"/>
    </row>
    <row r="116" spans="4:5">
      <c r="D116" s="46"/>
      <c r="E116" s="46"/>
    </row>
    <row r="117" spans="4:5">
      <c r="D117" s="46"/>
      <c r="E117" s="46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E124" s="46"/>
    </row>
    <row r="125" spans="4:5">
      <c r="E125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5"/>
  <sheetViews>
    <sheetView tabSelected="1" topLeftCell="B12" zoomScale="75" workbookViewId="0">
      <selection activeCell="D81" sqref="D81"/>
    </sheetView>
  </sheetViews>
  <sheetFormatPr defaultColWidth="9.33203125" defaultRowHeight="13.8"/>
  <cols>
    <col min="1" max="1" width="12" style="1" hidden="1" customWidth="1"/>
    <col min="2" max="2" width="33.44140625" style="1" customWidth="1"/>
    <col min="3" max="3" width="1.44140625" style="1" customWidth="1"/>
    <col min="4" max="6" width="18.66406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140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4.4" thickBot="1">
      <c r="C8" s="6"/>
      <c r="D8" s="2"/>
    </row>
    <row r="9" spans="1:6" s="50" customFormat="1" ht="15.6">
      <c r="A9" s="47"/>
      <c r="B9" s="126"/>
      <c r="C9" s="127"/>
      <c r="D9" s="256" t="str">
        <f>'Forecast vs 00 budget'!D9:F9</f>
        <v>Public Relations</v>
      </c>
      <c r="E9" s="257"/>
      <c r="F9" s="258"/>
    </row>
    <row r="10" spans="1:6" s="50" customFormat="1" ht="15.6">
      <c r="A10" s="51"/>
      <c r="B10" s="128" t="s">
        <v>97</v>
      </c>
      <c r="C10" s="129">
        <v>36892</v>
      </c>
      <c r="D10" s="105" t="s">
        <v>137</v>
      </c>
      <c r="E10" s="104" t="s">
        <v>138</v>
      </c>
      <c r="F10" s="106" t="s">
        <v>88</v>
      </c>
    </row>
    <row r="11" spans="1:6" s="57" customFormat="1" ht="15.6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6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6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6">
      <c r="A14" s="54"/>
      <c r="B14" s="132" t="s">
        <v>101</v>
      </c>
      <c r="C14" s="134">
        <f>SUM(C12:C13)</f>
        <v>2</v>
      </c>
      <c r="D14" s="109"/>
      <c r="E14" s="120"/>
      <c r="F14" s="110"/>
    </row>
    <row r="15" spans="1:6" s="57" customFormat="1" ht="15.6">
      <c r="A15" s="54"/>
      <c r="B15" s="132" t="s">
        <v>102</v>
      </c>
      <c r="C15" s="133">
        <v>1</v>
      </c>
      <c r="D15" s="109">
        <f>'2000 Forecast'!K12</f>
        <v>0</v>
      </c>
      <c r="E15" s="120">
        <f>Research!P14</f>
        <v>6</v>
      </c>
      <c r="F15" s="110">
        <f t="shared" ref="F15:F20" si="0">+D15-E15</f>
        <v>-6</v>
      </c>
    </row>
    <row r="16" spans="1:6" s="57" customFormat="1" ht="15.6">
      <c r="A16" s="54"/>
      <c r="B16" s="132" t="s">
        <v>103</v>
      </c>
      <c r="C16" s="133">
        <v>1</v>
      </c>
      <c r="D16" s="109">
        <f>'2000 Forecast'!K13</f>
        <v>0</v>
      </c>
      <c r="E16" s="120">
        <f>Research!P15</f>
        <v>5</v>
      </c>
      <c r="F16" s="110">
        <f t="shared" si="0"/>
        <v>-5</v>
      </c>
    </row>
    <row r="17" spans="1:6" s="57" customFormat="1" ht="15.6">
      <c r="A17" s="54"/>
      <c r="B17" s="132" t="s">
        <v>104</v>
      </c>
      <c r="C17" s="133">
        <v>1</v>
      </c>
      <c r="D17" s="109">
        <f>'2000 Forecast'!K14</f>
        <v>0</v>
      </c>
      <c r="E17" s="120">
        <f>Research!P16</f>
        <v>29</v>
      </c>
      <c r="F17" s="110">
        <f t="shared" si="0"/>
        <v>-29</v>
      </c>
    </row>
    <row r="18" spans="1:6" s="57" customFormat="1" ht="15.6">
      <c r="A18" s="54"/>
      <c r="B18" s="132" t="s">
        <v>105</v>
      </c>
      <c r="C18" s="133">
        <v>1</v>
      </c>
      <c r="D18" s="109">
        <f>'2000 Forecast'!K15</f>
        <v>0</v>
      </c>
      <c r="E18" s="120">
        <f>Research!P17</f>
        <v>8</v>
      </c>
      <c r="F18" s="110">
        <f t="shared" si="0"/>
        <v>-8</v>
      </c>
    </row>
    <row r="19" spans="1:6" s="57" customFormat="1" ht="15.6">
      <c r="A19" s="54"/>
      <c r="B19" s="132" t="s">
        <v>106</v>
      </c>
      <c r="C19" s="133">
        <v>1</v>
      </c>
      <c r="D19" s="109"/>
      <c r="E19" s="120">
        <f>Research!P18</f>
        <v>3</v>
      </c>
      <c r="F19" s="110">
        <f t="shared" si="0"/>
        <v>-3</v>
      </c>
    </row>
    <row r="20" spans="1:6" s="57" customFormat="1" ht="15.6">
      <c r="A20" s="54"/>
      <c r="B20" s="132" t="s">
        <v>107</v>
      </c>
      <c r="C20" s="133">
        <v>1</v>
      </c>
      <c r="D20" s="109">
        <f>'2000 Forecast'!K16</f>
        <v>0</v>
      </c>
      <c r="E20" s="120">
        <f>Research!P19</f>
        <v>0</v>
      </c>
      <c r="F20" s="110">
        <f t="shared" si="0"/>
        <v>0</v>
      </c>
    </row>
    <row r="21" spans="1:6" s="57" customFormat="1" ht="15.6">
      <c r="A21" s="54"/>
      <c r="B21" s="132" t="s">
        <v>108</v>
      </c>
      <c r="C21" s="133">
        <v>1</v>
      </c>
      <c r="D21" s="109">
        <f>'2000 Forecast'!K17</f>
        <v>0</v>
      </c>
      <c r="E21" s="120">
        <f>Research!P20</f>
        <v>0</v>
      </c>
      <c r="F21" s="110">
        <f>+D21-E21</f>
        <v>0</v>
      </c>
    </row>
    <row r="22" spans="1:6" s="57" customFormat="1" ht="15.6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Research!P21</f>
        <v>5</v>
      </c>
      <c r="F22" s="110">
        <f>+D22-E22</f>
        <v>-5</v>
      </c>
    </row>
    <row r="23" spans="1:6" s="57" customFormat="1" ht="15.6">
      <c r="A23" s="54"/>
      <c r="B23" s="132" t="s">
        <v>111</v>
      </c>
      <c r="C23" s="134"/>
      <c r="D23" s="109">
        <f>'2000 Forecast'!K20</f>
        <v>0</v>
      </c>
      <c r="E23" s="120">
        <f>Research!P22</f>
        <v>4</v>
      </c>
      <c r="F23" s="110">
        <f>+D23-E23</f>
        <v>-4</v>
      </c>
    </row>
    <row r="24" spans="1:6" s="57" customFormat="1" ht="15.6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60</v>
      </c>
      <c r="F24" s="162">
        <f>SUM(F11:F23)</f>
        <v>-60</v>
      </c>
    </row>
    <row r="25" spans="1:6" s="57" customFormat="1" ht="15.6">
      <c r="A25" s="54"/>
      <c r="B25" s="132" t="s">
        <v>111</v>
      </c>
      <c r="C25" s="133">
        <v>1</v>
      </c>
      <c r="D25" s="109">
        <f>+D23</f>
        <v>0</v>
      </c>
      <c r="E25" s="120">
        <f>+Research!P25</f>
        <v>0</v>
      </c>
      <c r="F25" s="110">
        <v>0</v>
      </c>
    </row>
    <row r="26" spans="1:6" s="57" customFormat="1" ht="15.6">
      <c r="A26" s="54"/>
      <c r="B26" s="132" t="s">
        <v>104</v>
      </c>
      <c r="C26" s="133"/>
      <c r="D26" s="109">
        <f>+D17</f>
        <v>0</v>
      </c>
      <c r="E26" s="120">
        <f>+Research!P26</f>
        <v>0</v>
      </c>
      <c r="F26" s="110">
        <v>0</v>
      </c>
    </row>
    <row r="27" spans="1:6" s="57" customFormat="1" ht="15.6">
      <c r="A27" s="54"/>
      <c r="B27" s="132" t="s">
        <v>105</v>
      </c>
      <c r="C27" s="133"/>
      <c r="D27" s="109">
        <f>+D18</f>
        <v>0</v>
      </c>
      <c r="E27" s="120">
        <f>+Research!P27</f>
        <v>0</v>
      </c>
      <c r="F27" s="110">
        <v>0</v>
      </c>
    </row>
    <row r="28" spans="1:6" s="166" customFormat="1" ht="15.6">
      <c r="A28" s="163"/>
      <c r="B28" s="164" t="s">
        <v>135</v>
      </c>
      <c r="C28" s="165"/>
      <c r="D28" s="158"/>
      <c r="E28" s="159">
        <f>+Research!P28</f>
        <v>0</v>
      </c>
      <c r="F28" s="165">
        <f>+D28-E28</f>
        <v>0</v>
      </c>
    </row>
    <row r="29" spans="1:6" s="166" customFormat="1" ht="16.2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60</v>
      </c>
      <c r="F29" s="169">
        <f>+F24-F25-F26-F27-F28</f>
        <v>-60</v>
      </c>
    </row>
    <row r="30" spans="1:6" s="64" customFormat="1" ht="16.2" thickBot="1">
      <c r="A30" s="65"/>
      <c r="B30" s="65"/>
      <c r="C30" s="58"/>
      <c r="D30" s="67"/>
      <c r="E30" s="67"/>
      <c r="F30" s="67"/>
    </row>
    <row r="31" spans="1:6" s="71" customFormat="1" ht="15.6">
      <c r="A31" s="68" t="s">
        <v>89</v>
      </c>
      <c r="B31" s="151"/>
      <c r="C31" s="152"/>
      <c r="D31" s="256" t="str">
        <f>'Forecast vs 00 budget'!D31:F31</f>
        <v>Public Relations</v>
      </c>
      <c r="E31" s="257"/>
      <c r="F31" s="258"/>
    </row>
    <row r="32" spans="1:6" s="71" customFormat="1" ht="16.2" thickBot="1">
      <c r="A32" s="51" t="s">
        <v>90</v>
      </c>
      <c r="B32" s="153" t="s">
        <v>0</v>
      </c>
      <c r="C32" s="154"/>
      <c r="D32" s="155" t="s">
        <v>139</v>
      </c>
      <c r="E32" s="156" t="s">
        <v>138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+'2000 Budget'!O26</f>
        <v>4851588</v>
      </c>
      <c r="E33" s="121">
        <f>+Research!P33</f>
        <v>6458307</v>
      </c>
      <c r="F33" s="112">
        <f>+D33-E33</f>
        <v>-1606719</v>
      </c>
    </row>
    <row r="34" spans="1:6">
      <c r="A34" s="26" t="s">
        <v>54</v>
      </c>
      <c r="B34" s="137" t="s">
        <v>2</v>
      </c>
      <c r="C34" s="138"/>
      <c r="D34" s="111"/>
      <c r="E34" s="121">
        <f>+Research!P34</f>
        <v>54000</v>
      </c>
      <c r="F34" s="112">
        <f>+D34-E34</f>
        <v>-54000</v>
      </c>
    </row>
    <row r="35" spans="1:6">
      <c r="A35" s="87"/>
      <c r="B35" s="139" t="s">
        <v>3</v>
      </c>
      <c r="C35" s="140"/>
      <c r="D35" s="113">
        <f>SUM(D33:D34)</f>
        <v>4851588</v>
      </c>
      <c r="E35" s="122">
        <f>SUM(E33:E34)</f>
        <v>6512307</v>
      </c>
      <c r="F35" s="114">
        <f>SUM(F33:F34)</f>
        <v>-1660719</v>
      </c>
    </row>
    <row r="36" spans="1:6">
      <c r="A36" s="87" t="s">
        <v>55</v>
      </c>
      <c r="B36" s="141" t="s">
        <v>4</v>
      </c>
      <c r="C36" s="140"/>
      <c r="D36" s="115">
        <f>+'2000 Budget'!O29</f>
        <v>588768</v>
      </c>
      <c r="E36" s="123">
        <f>+Research!P36</f>
        <v>890388.3975000002</v>
      </c>
      <c r="F36" s="116">
        <f>+D36-E36</f>
        <v>-301620.3975000002</v>
      </c>
    </row>
    <row r="37" spans="1:6">
      <c r="A37" s="87" t="s">
        <v>56</v>
      </c>
      <c r="B37" s="142" t="s">
        <v>5</v>
      </c>
      <c r="C37" s="140"/>
      <c r="D37" s="115">
        <f>+'2000 Budget'!O30</f>
        <v>249204</v>
      </c>
      <c r="E37" s="123">
        <f>+Research!P37</f>
        <v>450286.1399999999</v>
      </c>
      <c r="F37" s="116">
        <f>+D37-E37</f>
        <v>-201082.1399999999</v>
      </c>
    </row>
    <row r="38" spans="1:6">
      <c r="A38" s="87"/>
      <c r="B38" s="143" t="s">
        <v>6</v>
      </c>
      <c r="C38" s="140"/>
      <c r="D38" s="113">
        <f>SUM(D36:D37)</f>
        <v>837972</v>
      </c>
      <c r="E38" s="122">
        <f>SUM(E36:E37)</f>
        <v>1340674.5375000001</v>
      </c>
      <c r="F38" s="114">
        <f>SUM(F36:F37)</f>
        <v>-502702.53750000009</v>
      </c>
    </row>
    <row r="39" spans="1:6">
      <c r="A39" s="26" t="s">
        <v>57</v>
      </c>
      <c r="B39" s="144" t="s">
        <v>7</v>
      </c>
      <c r="C39" s="145"/>
      <c r="D39" s="111">
        <f>+'2000 Budget'!O32</f>
        <v>15000</v>
      </c>
      <c r="E39" s="121">
        <f>+Research!P39</f>
        <v>252000</v>
      </c>
      <c r="F39" s="112">
        <f t="shared" ref="F39:F45" si="1">+D39-E39</f>
        <v>-237000</v>
      </c>
    </row>
    <row r="40" spans="1:6">
      <c r="A40" s="26" t="s">
        <v>58</v>
      </c>
      <c r="B40" s="144" t="s">
        <v>8</v>
      </c>
      <c r="C40" s="145"/>
      <c r="D40" s="111">
        <f>+'2000 Budget'!O33</f>
        <v>3036</v>
      </c>
      <c r="E40" s="121">
        <f>+Research!P40</f>
        <v>9000</v>
      </c>
      <c r="F40" s="112">
        <f t="shared" si="1"/>
        <v>-5964</v>
      </c>
    </row>
    <row r="41" spans="1:6">
      <c r="A41" s="26" t="s">
        <v>57</v>
      </c>
      <c r="B41" s="144" t="s">
        <v>9</v>
      </c>
      <c r="C41" s="145"/>
      <c r="D41" s="111">
        <f>+'2000 Budget'!O34</f>
        <v>46356</v>
      </c>
      <c r="E41" s="121">
        <f>+Research!P41</f>
        <v>90000</v>
      </c>
      <c r="F41" s="112">
        <f t="shared" si="1"/>
        <v>-43644</v>
      </c>
    </row>
    <row r="42" spans="1:6">
      <c r="A42" s="26" t="s">
        <v>59</v>
      </c>
      <c r="B42" s="144" t="s">
        <v>10</v>
      </c>
      <c r="C42" s="145"/>
      <c r="D42" s="111">
        <f>+'2000 Budget'!O35</f>
        <v>3996</v>
      </c>
      <c r="E42" s="121">
        <f>+Research!P42</f>
        <v>36000</v>
      </c>
      <c r="F42" s="112">
        <f t="shared" si="1"/>
        <v>-32004</v>
      </c>
    </row>
    <row r="43" spans="1:6">
      <c r="A43" s="26" t="s">
        <v>60</v>
      </c>
      <c r="B43" s="144" t="s">
        <v>11</v>
      </c>
      <c r="C43" s="145"/>
      <c r="D43" s="111">
        <f>+'2000 Budget'!O36</f>
        <v>159996</v>
      </c>
      <c r="E43" s="121">
        <f>+Research!P43</f>
        <v>300000</v>
      </c>
      <c r="F43" s="112">
        <f t="shared" si="1"/>
        <v>-140004</v>
      </c>
    </row>
    <row r="44" spans="1:6">
      <c r="A44" s="27" t="s">
        <v>61</v>
      </c>
      <c r="B44" s="144" t="s">
        <v>12</v>
      </c>
      <c r="C44" s="145"/>
      <c r="D44" s="111">
        <f>+'2000 Budget'!O37</f>
        <v>0</v>
      </c>
      <c r="E44" s="121">
        <f>+Research!P44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Budget'!O38</f>
        <v>30000</v>
      </c>
      <c r="E45" s="121">
        <f>+Research!P45</f>
        <v>18000</v>
      </c>
      <c r="F45" s="112">
        <f t="shared" si="1"/>
        <v>12000</v>
      </c>
    </row>
    <row r="46" spans="1:6">
      <c r="A46" s="87"/>
      <c r="B46" s="143" t="s">
        <v>14</v>
      </c>
      <c r="C46" s="140"/>
      <c r="D46" s="113">
        <f>SUM(D39:D45)</f>
        <v>258384</v>
      </c>
      <c r="E46" s="122">
        <f>SUM(E39:E45)</f>
        <v>705000</v>
      </c>
      <c r="F46" s="114">
        <f>SUM(F39:F45)</f>
        <v>-446616</v>
      </c>
    </row>
    <row r="47" spans="1:6">
      <c r="A47" s="26" t="s">
        <v>60</v>
      </c>
      <c r="B47" s="144" t="s">
        <v>15</v>
      </c>
      <c r="C47" s="145"/>
      <c r="D47" s="111">
        <f>+'2000 Budget'!O40</f>
        <v>0</v>
      </c>
      <c r="E47" s="121">
        <f>+Research!P47</f>
        <v>0</v>
      </c>
      <c r="F47" s="112">
        <f t="shared" ref="F47:F52" si="2">+D47-E47</f>
        <v>0</v>
      </c>
    </row>
    <row r="48" spans="1:6">
      <c r="A48" s="26" t="s">
        <v>63</v>
      </c>
      <c r="B48" s="144" t="s">
        <v>16</v>
      </c>
      <c r="C48" s="145"/>
      <c r="D48" s="111">
        <f>+'2000 Budget'!O41</f>
        <v>0</v>
      </c>
      <c r="E48" s="121">
        <f>+Research!P48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Budget'!O42</f>
        <v>0</v>
      </c>
      <c r="E49" s="121">
        <f>+Research!P49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Budget'!O43</f>
        <v>0</v>
      </c>
      <c r="E50" s="121">
        <f>+Research!P50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Budget'!O44</f>
        <v>0</v>
      </c>
      <c r="E51" s="121">
        <f>+Research!P51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Budget'!O45</f>
        <v>0</v>
      </c>
      <c r="E52" s="121">
        <f>+Research!P52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Budget'!O47</f>
        <v>123096</v>
      </c>
      <c r="E54" s="121">
        <f>+Research!P54</f>
        <v>458000</v>
      </c>
      <c r="F54" s="112">
        <f>+D54-E54</f>
        <v>-334904</v>
      </c>
    </row>
    <row r="55" spans="1:6">
      <c r="A55" s="26" t="s">
        <v>65</v>
      </c>
      <c r="B55" s="144" t="s">
        <v>23</v>
      </c>
      <c r="C55" s="145"/>
      <c r="D55" s="111">
        <f>+'2000 Budget'!O48</f>
        <v>0</v>
      </c>
      <c r="E55" s="121">
        <f>+Research!P55</f>
        <v>0</v>
      </c>
      <c r="F55" s="112">
        <f>+D55-E55</f>
        <v>0</v>
      </c>
    </row>
    <row r="56" spans="1:6">
      <c r="A56" s="26" t="s">
        <v>64</v>
      </c>
      <c r="B56" s="144" t="s">
        <v>24</v>
      </c>
      <c r="C56" s="145"/>
      <c r="D56" s="111">
        <f>+'2000 Budget'!O49</f>
        <v>75804</v>
      </c>
      <c r="E56" s="121">
        <f>+Research!P56</f>
        <v>0</v>
      </c>
      <c r="F56" s="112">
        <f>+D56-E56</f>
        <v>75804</v>
      </c>
    </row>
    <row r="57" spans="1:6">
      <c r="A57" s="87"/>
      <c r="B57" s="143" t="s">
        <v>25</v>
      </c>
      <c r="C57" s="140"/>
      <c r="D57" s="113">
        <f>SUM(D54:D56)</f>
        <v>198900</v>
      </c>
      <c r="E57" s="122">
        <f>SUM(E54:E56)</f>
        <v>458000</v>
      </c>
      <c r="F57" s="114">
        <f>SUM(F54:F56)</f>
        <v>-259100</v>
      </c>
    </row>
    <row r="58" spans="1:6">
      <c r="A58" s="26" t="s">
        <v>66</v>
      </c>
      <c r="B58" s="144" t="s">
        <v>26</v>
      </c>
      <c r="C58" s="145"/>
      <c r="D58" s="111">
        <f>+'2000 Budget'!O51</f>
        <v>0</v>
      </c>
      <c r="E58" s="121">
        <f>+Research!P58</f>
        <v>0</v>
      </c>
      <c r="F58" s="112">
        <f t="shared" ref="F58:F64" si="3">+D58-E58</f>
        <v>0</v>
      </c>
    </row>
    <row r="59" spans="1:6">
      <c r="A59" s="26" t="s">
        <v>67</v>
      </c>
      <c r="B59" s="144" t="s">
        <v>27</v>
      </c>
      <c r="C59" s="145"/>
      <c r="D59" s="111">
        <f>+'2000 Budget'!O52</f>
        <v>0</v>
      </c>
      <c r="E59" s="121">
        <f>+Research!P59</f>
        <v>0</v>
      </c>
      <c r="F59" s="112">
        <f t="shared" si="3"/>
        <v>0</v>
      </c>
    </row>
    <row r="60" spans="1:6">
      <c r="A60" s="26" t="s">
        <v>68</v>
      </c>
      <c r="B60" s="144" t="s">
        <v>28</v>
      </c>
      <c r="C60" s="145"/>
      <c r="D60" s="111">
        <f>+'2000 Budget'!O53</f>
        <v>93552</v>
      </c>
      <c r="E60" s="121">
        <f>+Research!P60</f>
        <v>37000</v>
      </c>
      <c r="F60" s="112">
        <f t="shared" si="3"/>
        <v>56552</v>
      </c>
    </row>
    <row r="61" spans="1:6">
      <c r="A61" s="26" t="s">
        <v>69</v>
      </c>
      <c r="B61" s="144" t="s">
        <v>29</v>
      </c>
      <c r="C61" s="145"/>
      <c r="D61" s="111">
        <f>+'2000 Budget'!O54</f>
        <v>0</v>
      </c>
      <c r="E61" s="121">
        <f>+Research!P61</f>
        <v>6000</v>
      </c>
      <c r="F61" s="112">
        <f t="shared" si="3"/>
        <v>-6000</v>
      </c>
    </row>
    <row r="62" spans="1:6">
      <c r="A62" s="26" t="s">
        <v>67</v>
      </c>
      <c r="B62" s="144" t="s">
        <v>30</v>
      </c>
      <c r="C62" s="145"/>
      <c r="D62" s="111">
        <f>+'2000 Budget'!O55</f>
        <v>0</v>
      </c>
      <c r="E62" s="121">
        <f>+Research!P62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Budget'!O56</f>
        <v>0</v>
      </c>
      <c r="E63" s="121">
        <f>+Research!P63</f>
        <v>120000</v>
      </c>
      <c r="F63" s="112">
        <f t="shared" si="3"/>
        <v>-120000</v>
      </c>
    </row>
    <row r="64" spans="1:6">
      <c r="A64" s="26" t="s">
        <v>68</v>
      </c>
      <c r="B64" s="144" t="s">
        <v>32</v>
      </c>
      <c r="C64" s="145"/>
      <c r="D64" s="111">
        <f>+'2000 Budget'!O57</f>
        <v>0</v>
      </c>
      <c r="E64" s="121">
        <f>+Research!P64</f>
        <v>500</v>
      </c>
      <c r="F64" s="112">
        <f t="shared" si="3"/>
        <v>-500</v>
      </c>
    </row>
    <row r="65" spans="1:6">
      <c r="A65" s="87"/>
      <c r="B65" s="143" t="s">
        <v>33</v>
      </c>
      <c r="C65" s="140"/>
      <c r="D65" s="113">
        <f>SUM(D58:D64)</f>
        <v>93552</v>
      </c>
      <c r="E65" s="122">
        <f>SUM(E58:E64)</f>
        <v>163500</v>
      </c>
      <c r="F65" s="114">
        <f>SUM(F58:F64)</f>
        <v>-69948</v>
      </c>
    </row>
    <row r="66" spans="1:6">
      <c r="A66" s="26" t="s">
        <v>70</v>
      </c>
      <c r="B66" s="144" t="s">
        <v>34</v>
      </c>
      <c r="C66" s="145"/>
      <c r="D66" s="111">
        <f>+'2000 Budget'!O59</f>
        <v>36060</v>
      </c>
      <c r="E66" s="121">
        <f>+Research!P66</f>
        <v>24000</v>
      </c>
      <c r="F66" s="112">
        <f>+D66-E66</f>
        <v>12060</v>
      </c>
    </row>
    <row r="67" spans="1:6">
      <c r="A67" s="26" t="s">
        <v>71</v>
      </c>
      <c r="B67" s="144" t="s">
        <v>35</v>
      </c>
      <c r="C67" s="145"/>
      <c r="D67" s="111">
        <f>+'2000 Budget'!O60</f>
        <v>0</v>
      </c>
      <c r="E67" s="121">
        <f>+Research!P67</f>
        <v>0</v>
      </c>
      <c r="F67" s="112">
        <f>+D67-E67</f>
        <v>0</v>
      </c>
    </row>
    <row r="68" spans="1:6">
      <c r="A68" s="26" t="s">
        <v>71</v>
      </c>
      <c r="B68" s="144" t="s">
        <v>36</v>
      </c>
      <c r="C68" s="145"/>
      <c r="D68" s="111">
        <f>+'2000 Budget'!O61</f>
        <v>0</v>
      </c>
      <c r="E68" s="121">
        <f>+Research!P68</f>
        <v>0</v>
      </c>
      <c r="F68" s="112">
        <f>+D68-E68</f>
        <v>0</v>
      </c>
    </row>
    <row r="69" spans="1:6">
      <c r="A69" s="26" t="s">
        <v>70</v>
      </c>
      <c r="B69" s="144" t="s">
        <v>37</v>
      </c>
      <c r="C69" s="145"/>
      <c r="D69" s="111">
        <f>+'2000 Budget'!O62</f>
        <v>0</v>
      </c>
      <c r="E69" s="121">
        <f>+Research!P69</f>
        <v>0</v>
      </c>
      <c r="F69" s="112">
        <f>+D69-E69</f>
        <v>0</v>
      </c>
    </row>
    <row r="70" spans="1:6">
      <c r="A70" s="87"/>
      <c r="B70" s="143" t="s">
        <v>38</v>
      </c>
      <c r="C70" s="140"/>
      <c r="D70" s="113">
        <f>SUM(D66:D69)</f>
        <v>36060</v>
      </c>
      <c r="E70" s="122">
        <f>SUM(E66:E69)</f>
        <v>24000</v>
      </c>
      <c r="F70" s="114">
        <f>SUM(F66:F69)</f>
        <v>12060</v>
      </c>
    </row>
    <row r="71" spans="1:6">
      <c r="A71" s="26" t="s">
        <v>72</v>
      </c>
      <c r="B71" s="146" t="s">
        <v>39</v>
      </c>
      <c r="C71" s="145"/>
      <c r="D71" s="111">
        <f>+'2000 Budget'!O64</f>
        <v>0</v>
      </c>
      <c r="E71" s="121">
        <f>+Research!P71</f>
        <v>0</v>
      </c>
      <c r="F71" s="112">
        <f>+D71-E71</f>
        <v>0</v>
      </c>
    </row>
    <row r="72" spans="1:6">
      <c r="A72" s="26" t="s">
        <v>73</v>
      </c>
      <c r="B72" s="144" t="s">
        <v>40</v>
      </c>
      <c r="C72" s="145"/>
      <c r="D72" s="111">
        <f>+'2000 Budget'!O65</f>
        <v>2064</v>
      </c>
      <c r="E72" s="121">
        <f>+Research!P72</f>
        <v>0</v>
      </c>
      <c r="F72" s="112">
        <f>+D72-E72</f>
        <v>2064</v>
      </c>
    </row>
    <row r="73" spans="1:6">
      <c r="A73" s="26" t="s">
        <v>74</v>
      </c>
      <c r="B73" s="144" t="s">
        <v>41</v>
      </c>
      <c r="C73" s="145"/>
      <c r="D73" s="111">
        <f>+'2000 Budget'!O66</f>
        <v>0</v>
      </c>
      <c r="E73" s="121">
        <f>+Research!P73</f>
        <v>0</v>
      </c>
      <c r="F73" s="112">
        <f>+D73-E73</f>
        <v>0</v>
      </c>
    </row>
    <row r="74" spans="1:6">
      <c r="A74" s="87"/>
      <c r="B74" s="143" t="s">
        <v>42</v>
      </c>
      <c r="C74" s="140"/>
      <c r="D74" s="113">
        <f>SUM(D72:D73)</f>
        <v>2064</v>
      </c>
      <c r="E74" s="122">
        <f>SUM(E72:E73)</f>
        <v>0</v>
      </c>
      <c r="F74" s="114">
        <f>SUM(F72:F73)</f>
        <v>2064</v>
      </c>
    </row>
    <row r="75" spans="1:6">
      <c r="A75" s="26" t="s">
        <v>75</v>
      </c>
      <c r="B75" s="144" t="s">
        <v>43</v>
      </c>
      <c r="C75" s="138"/>
      <c r="D75" s="111">
        <f>+'2000 Budget'!O68</f>
        <v>75996</v>
      </c>
      <c r="E75" s="121">
        <f>+Research!P75</f>
        <v>270000</v>
      </c>
      <c r="F75" s="112">
        <f t="shared" ref="F75:F80" si="4">+D75-E75</f>
        <v>-194004</v>
      </c>
    </row>
    <row r="76" spans="1:6">
      <c r="A76" s="26" t="s">
        <v>76</v>
      </c>
      <c r="B76" s="144" t="s">
        <v>44</v>
      </c>
      <c r="C76" s="138"/>
      <c r="D76" s="111">
        <f>+'2000 Budget'!O69</f>
        <v>0</v>
      </c>
      <c r="E76" s="121">
        <f>+Research!P76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Budget'!O70</f>
        <v>296448</v>
      </c>
      <c r="E77" s="121">
        <f>+Research!P77</f>
        <v>240000</v>
      </c>
      <c r="F77" s="112">
        <f t="shared" si="4"/>
        <v>56448</v>
      </c>
    </row>
    <row r="78" spans="1:6">
      <c r="A78" s="26" t="s">
        <v>78</v>
      </c>
      <c r="B78" s="144" t="s">
        <v>51</v>
      </c>
      <c r="C78" s="138"/>
      <c r="D78" s="111">
        <f>+'2000 Budget'!O71</f>
        <v>203520</v>
      </c>
      <c r="E78" s="121">
        <f>+Research!P78</f>
        <v>540000</v>
      </c>
      <c r="F78" s="112">
        <f t="shared" si="4"/>
        <v>-336480</v>
      </c>
    </row>
    <row r="79" spans="1:6">
      <c r="A79" s="26" t="s">
        <v>63</v>
      </c>
      <c r="B79" s="144" t="s">
        <v>52</v>
      </c>
      <c r="C79" s="138"/>
      <c r="D79" s="111"/>
      <c r="E79" s="121">
        <f>+Research!P79</f>
        <v>267048</v>
      </c>
      <c r="F79" s="112">
        <f t="shared" si="4"/>
        <v>-267048</v>
      </c>
    </row>
    <row r="80" spans="1:6">
      <c r="A80" s="26" t="s">
        <v>63</v>
      </c>
      <c r="B80" s="144" t="s">
        <v>45</v>
      </c>
      <c r="C80" s="138"/>
      <c r="D80" s="111">
        <f>+'2000 Budget'!O72</f>
        <v>188040</v>
      </c>
      <c r="E80" s="121">
        <f>+Research!P80</f>
        <v>0</v>
      </c>
      <c r="F80" s="112">
        <f t="shared" si="4"/>
        <v>188040</v>
      </c>
    </row>
    <row r="81" spans="1:6">
      <c r="A81" s="87"/>
      <c r="B81" s="143" t="s">
        <v>46</v>
      </c>
      <c r="C81" s="140"/>
      <c r="D81" s="113">
        <f>D35+D38+D46+D53+D57+D65+D70+D71+D74+SUM(D75:D80)</f>
        <v>7042524</v>
      </c>
      <c r="E81" s="122">
        <f>E35+E38+E46+E53+E57+E65+E70+E71+E74+SUM(E75:E80)</f>
        <v>10520529.5375</v>
      </c>
      <c r="F81" s="114">
        <f>F35+F38+F46+F53+F57+F65+F70+F71+F74+SUM(F75:F80)</f>
        <v>-3478005.5375000001</v>
      </c>
    </row>
    <row r="82" spans="1:6">
      <c r="A82" s="26" t="s">
        <v>79</v>
      </c>
      <c r="B82" s="144" t="s">
        <v>47</v>
      </c>
      <c r="C82" s="138"/>
      <c r="D82" s="111"/>
      <c r="E82" s="121">
        <f>+Research!P82</f>
        <v>0</v>
      </c>
      <c r="F82" s="112">
        <f>+D82-E82</f>
        <v>0</v>
      </c>
    </row>
    <row r="83" spans="1:6">
      <c r="A83" s="26" t="s">
        <v>80</v>
      </c>
      <c r="B83" s="144" t="s">
        <v>48</v>
      </c>
      <c r="C83" s="138"/>
      <c r="D83" s="111"/>
      <c r="E83" s="121">
        <f>+Research!P83</f>
        <v>0</v>
      </c>
      <c r="F83" s="112">
        <f>+D83-E83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>
        <f>+Research!P85</f>
        <v>0</v>
      </c>
      <c r="F85" s="112">
        <f>+D85-E85</f>
        <v>0</v>
      </c>
    </row>
    <row r="86" spans="1:6" ht="14.4" thickBot="1">
      <c r="A86" s="28"/>
      <c r="B86" s="149" t="s">
        <v>49</v>
      </c>
      <c r="C86" s="150"/>
      <c r="D86" s="117">
        <f>D84+D81+D85</f>
        <v>7042524</v>
      </c>
      <c r="E86" s="124">
        <f>E84+E81+E85</f>
        <v>10520529.5375</v>
      </c>
      <c r="F86" s="118">
        <f>F84+F81+F85</f>
        <v>-3478005.5375000001</v>
      </c>
    </row>
    <row r="87" spans="1:6">
      <c r="D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</row>
    <row r="89" spans="1:6">
      <c r="D89" s="46"/>
    </row>
    <row r="90" spans="1:6">
      <c r="D90" s="46"/>
    </row>
    <row r="91" spans="1:6">
      <c r="D91" s="46"/>
    </row>
    <row r="92" spans="1:6">
      <c r="D92" s="46"/>
    </row>
    <row r="93" spans="1:6">
      <c r="D93" s="46"/>
    </row>
    <row r="94" spans="1:6">
      <c r="D94" s="46"/>
    </row>
    <row r="95" spans="1:6">
      <c r="D95" s="46"/>
    </row>
    <row r="96" spans="1:6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topLeftCell="B9" zoomScale="75" workbookViewId="0">
      <selection activeCell="D29" sqref="D29"/>
    </sheetView>
  </sheetViews>
  <sheetFormatPr defaultColWidth="9.33203125" defaultRowHeight="13.8"/>
  <cols>
    <col min="1" max="1" width="12" style="1" hidden="1" customWidth="1"/>
    <col min="2" max="2" width="33.44140625" style="1" bestFit="1" customWidth="1"/>
    <col min="3" max="3" width="1.44140625" style="1" customWidth="1"/>
    <col min="4" max="6" width="19.332031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141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4.4" thickBot="1">
      <c r="C8" s="6"/>
      <c r="D8" s="2"/>
    </row>
    <row r="9" spans="1:6" s="50" customFormat="1" ht="15.6">
      <c r="A9" s="47"/>
      <c r="B9" s="126"/>
      <c r="C9" s="127"/>
      <c r="D9" s="256" t="str">
        <f>'Forecast vs 00 budget'!D9:F9</f>
        <v>Public Relations</v>
      </c>
      <c r="E9" s="257"/>
      <c r="F9" s="258"/>
    </row>
    <row r="10" spans="1:6" s="50" customFormat="1" ht="15.6">
      <c r="A10" s="51"/>
      <c r="B10" s="128" t="s">
        <v>97</v>
      </c>
      <c r="C10" s="129">
        <v>36892</v>
      </c>
      <c r="D10" s="105" t="s">
        <v>137</v>
      </c>
      <c r="E10" s="104" t="s">
        <v>138</v>
      </c>
      <c r="F10" s="106" t="s">
        <v>88</v>
      </c>
    </row>
    <row r="11" spans="1:6" s="57" customFormat="1" ht="15.6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6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6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6">
      <c r="A14" s="54"/>
      <c r="B14" s="132" t="s">
        <v>101</v>
      </c>
      <c r="C14" s="134">
        <f>SUM(C12:C13)</f>
        <v>2</v>
      </c>
      <c r="D14" s="109"/>
      <c r="E14" s="120"/>
      <c r="F14" s="110"/>
    </row>
    <row r="15" spans="1:6" s="57" customFormat="1" ht="15.6">
      <c r="A15" s="54"/>
      <c r="B15" s="132" t="s">
        <v>102</v>
      </c>
      <c r="C15" s="133">
        <v>1</v>
      </c>
      <c r="D15" s="109">
        <f>'2000 Forecast'!K12</f>
        <v>0</v>
      </c>
      <c r="E15" s="120">
        <f>Research!P14</f>
        <v>6</v>
      </c>
      <c r="F15" s="110">
        <f t="shared" ref="F15:F20" si="0">+D15-E15</f>
        <v>-6</v>
      </c>
    </row>
    <row r="16" spans="1:6" s="57" customFormat="1" ht="15.6">
      <c r="A16" s="54"/>
      <c r="B16" s="132" t="s">
        <v>103</v>
      </c>
      <c r="C16" s="133">
        <v>1</v>
      </c>
      <c r="D16" s="109">
        <f>'2000 Forecast'!K13</f>
        <v>0</v>
      </c>
      <c r="E16" s="120">
        <f>Research!P15</f>
        <v>5</v>
      </c>
      <c r="F16" s="110">
        <f t="shared" si="0"/>
        <v>-5</v>
      </c>
    </row>
    <row r="17" spans="1:6" s="57" customFormat="1" ht="15.6">
      <c r="A17" s="54"/>
      <c r="B17" s="132" t="s">
        <v>104</v>
      </c>
      <c r="C17" s="133">
        <v>1</v>
      </c>
      <c r="D17" s="109">
        <f>'2000 Forecast'!K14</f>
        <v>0</v>
      </c>
      <c r="E17" s="120">
        <f>Research!P16</f>
        <v>29</v>
      </c>
      <c r="F17" s="110">
        <f t="shared" si="0"/>
        <v>-29</v>
      </c>
    </row>
    <row r="18" spans="1:6" s="57" customFormat="1" ht="15.6">
      <c r="A18" s="54"/>
      <c r="B18" s="132" t="s">
        <v>105</v>
      </c>
      <c r="C18" s="133">
        <v>1</v>
      </c>
      <c r="D18" s="109">
        <f>'2000 Forecast'!K15</f>
        <v>0</v>
      </c>
      <c r="E18" s="120">
        <f>Research!P17</f>
        <v>8</v>
      </c>
      <c r="F18" s="110">
        <f t="shared" si="0"/>
        <v>-8</v>
      </c>
    </row>
    <row r="19" spans="1:6" s="57" customFormat="1" ht="15.6">
      <c r="A19" s="54"/>
      <c r="B19" s="132" t="s">
        <v>106</v>
      </c>
      <c r="C19" s="133">
        <v>1</v>
      </c>
      <c r="D19" s="109"/>
      <c r="E19" s="120">
        <f>Research!P18</f>
        <v>3</v>
      </c>
      <c r="F19" s="110">
        <f t="shared" si="0"/>
        <v>-3</v>
      </c>
    </row>
    <row r="20" spans="1:6" s="57" customFormat="1" ht="15.6">
      <c r="A20" s="54"/>
      <c r="B20" s="132" t="s">
        <v>107</v>
      </c>
      <c r="C20" s="133">
        <v>1</v>
      </c>
      <c r="D20" s="109">
        <f>'2000 Forecast'!K16</f>
        <v>0</v>
      </c>
      <c r="E20" s="120">
        <f>Research!P19</f>
        <v>0</v>
      </c>
      <c r="F20" s="110">
        <f t="shared" si="0"/>
        <v>0</v>
      </c>
    </row>
    <row r="21" spans="1:6" s="57" customFormat="1" ht="15.6">
      <c r="A21" s="54"/>
      <c r="B21" s="132" t="s">
        <v>108</v>
      </c>
      <c r="C21" s="133">
        <v>1</v>
      </c>
      <c r="D21" s="109">
        <f>'2000 Forecast'!K17</f>
        <v>0</v>
      </c>
      <c r="E21" s="120">
        <f>Research!P20</f>
        <v>0</v>
      </c>
      <c r="F21" s="110">
        <f>+D21-E21</f>
        <v>0</v>
      </c>
    </row>
    <row r="22" spans="1:6" s="57" customFormat="1" ht="15.6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Research!P21</f>
        <v>5</v>
      </c>
      <c r="F22" s="110">
        <f>+D22-E22</f>
        <v>-5</v>
      </c>
    </row>
    <row r="23" spans="1:6" s="57" customFormat="1" ht="15.6">
      <c r="A23" s="54"/>
      <c r="B23" s="132" t="s">
        <v>111</v>
      </c>
      <c r="C23" s="134"/>
      <c r="D23" s="109">
        <f>'2000 Forecast'!K20</f>
        <v>0</v>
      </c>
      <c r="E23" s="120">
        <f>Research!P22</f>
        <v>4</v>
      </c>
      <c r="F23" s="110">
        <f>+D23-E23</f>
        <v>-4</v>
      </c>
    </row>
    <row r="24" spans="1:6" s="57" customFormat="1" ht="15.6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60</v>
      </c>
      <c r="F24" s="162">
        <f>SUM(F11:F23)</f>
        <v>-60</v>
      </c>
    </row>
    <row r="25" spans="1:6" s="57" customFormat="1" ht="15.6">
      <c r="A25" s="54"/>
      <c r="B25" s="132" t="s">
        <v>111</v>
      </c>
      <c r="C25" s="133">
        <v>1</v>
      </c>
      <c r="D25" s="109">
        <f>+D23</f>
        <v>0</v>
      </c>
      <c r="E25" s="120">
        <f>+Research!P25</f>
        <v>0</v>
      </c>
      <c r="F25" s="110">
        <v>0</v>
      </c>
    </row>
    <row r="26" spans="1:6" s="57" customFormat="1" ht="15.6">
      <c r="A26" s="54"/>
      <c r="B26" s="132" t="s">
        <v>104</v>
      </c>
      <c r="C26" s="133"/>
      <c r="D26" s="109">
        <f>+D17</f>
        <v>0</v>
      </c>
      <c r="E26" s="120">
        <f>+Research!P26</f>
        <v>0</v>
      </c>
      <c r="F26" s="110">
        <v>0</v>
      </c>
    </row>
    <row r="27" spans="1:6" s="57" customFormat="1" ht="15.6">
      <c r="A27" s="54"/>
      <c r="B27" s="132" t="s">
        <v>105</v>
      </c>
      <c r="C27" s="133"/>
      <c r="D27" s="109">
        <f>+D18</f>
        <v>0</v>
      </c>
      <c r="E27" s="120">
        <f>+Research!P27</f>
        <v>0</v>
      </c>
      <c r="F27" s="110">
        <v>0</v>
      </c>
    </row>
    <row r="28" spans="1:6" s="166" customFormat="1" ht="15.6">
      <c r="A28" s="163"/>
      <c r="B28" s="164" t="s">
        <v>135</v>
      </c>
      <c r="C28" s="165"/>
      <c r="D28" s="158"/>
      <c r="E28" s="159">
        <f>+Research!P28</f>
        <v>0</v>
      </c>
      <c r="F28" s="165">
        <f>+D28-E28</f>
        <v>0</v>
      </c>
    </row>
    <row r="29" spans="1:6" s="166" customFormat="1" ht="16.2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60</v>
      </c>
      <c r="F29" s="169">
        <f>+F24-F25-F26-F27-F28</f>
        <v>-60</v>
      </c>
    </row>
    <row r="30" spans="1:6" s="64" customFormat="1" ht="16.2" thickBot="1">
      <c r="A30" s="65"/>
      <c r="B30" s="65"/>
      <c r="C30" s="58"/>
      <c r="D30" s="67"/>
      <c r="E30" s="67"/>
      <c r="F30" s="67"/>
    </row>
    <row r="31" spans="1:6" s="71" customFormat="1" ht="15.6">
      <c r="A31" s="68" t="s">
        <v>89</v>
      </c>
      <c r="B31" s="151"/>
      <c r="C31" s="152"/>
      <c r="D31" s="256" t="str">
        <f>'Forecast vs 00 budget'!D31:F31</f>
        <v>Public Relations</v>
      </c>
      <c r="E31" s="257"/>
      <c r="F31" s="258"/>
    </row>
    <row r="32" spans="1:6" s="71" customFormat="1" ht="16.2" thickBot="1">
      <c r="A32" s="51" t="s">
        <v>90</v>
      </c>
      <c r="B32" s="153" t="s">
        <v>0</v>
      </c>
      <c r="C32" s="154"/>
      <c r="D32" s="155" t="s">
        <v>133</v>
      </c>
      <c r="E32" s="156" t="s">
        <v>134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'2000 Forecast'!P26</f>
        <v>0</v>
      </c>
      <c r="E33" s="121">
        <f>+Research!P33</f>
        <v>6458307</v>
      </c>
      <c r="F33" s="112">
        <f>+D33-E33</f>
        <v>-6458307</v>
      </c>
    </row>
    <row r="34" spans="1:6">
      <c r="A34" s="26" t="s">
        <v>54</v>
      </c>
      <c r="B34" s="137" t="s">
        <v>2</v>
      </c>
      <c r="C34" s="138"/>
      <c r="D34" s="111"/>
      <c r="E34" s="121">
        <f>+Research!P34</f>
        <v>54000</v>
      </c>
      <c r="F34" s="112">
        <f>+D34-E34</f>
        <v>-54000</v>
      </c>
    </row>
    <row r="35" spans="1:6">
      <c r="A35" s="87"/>
      <c r="B35" s="139" t="s">
        <v>3</v>
      </c>
      <c r="C35" s="140"/>
      <c r="D35" s="113">
        <f>SUM(D33:D34)</f>
        <v>0</v>
      </c>
      <c r="E35" s="122">
        <f>SUM(E33:E34)</f>
        <v>6512307</v>
      </c>
      <c r="F35" s="114">
        <f>SUM(F33:F34)</f>
        <v>-6512307</v>
      </c>
    </row>
    <row r="36" spans="1:6">
      <c r="A36" s="87" t="s">
        <v>55</v>
      </c>
      <c r="B36" s="141" t="s">
        <v>4</v>
      </c>
      <c r="C36" s="140"/>
      <c r="D36" s="115">
        <f>'2000 Forecast'!P29+'2000 Forecast'!P30+'2000 Forecast'!P31</f>
        <v>0</v>
      </c>
      <c r="E36" s="123">
        <f>+Research!P36</f>
        <v>890388.3975000002</v>
      </c>
      <c r="F36" s="116">
        <f>+D36-E36</f>
        <v>-890388.3975000002</v>
      </c>
    </row>
    <row r="37" spans="1:6">
      <c r="A37" s="87" t="s">
        <v>56</v>
      </c>
      <c r="B37" s="142" t="s">
        <v>5</v>
      </c>
      <c r="C37" s="140"/>
      <c r="D37" s="115">
        <f>+'2000 Forecast'!P33</f>
        <v>0</v>
      </c>
      <c r="E37" s="123">
        <f>+Research!P37</f>
        <v>450286.1399999999</v>
      </c>
      <c r="F37" s="116">
        <f>+D37-E37</f>
        <v>-450286.1399999999</v>
      </c>
    </row>
    <row r="38" spans="1:6">
      <c r="A38" s="87"/>
      <c r="B38" s="143" t="s">
        <v>6</v>
      </c>
      <c r="C38" s="140"/>
      <c r="D38" s="113">
        <f>SUM(D36:D37)</f>
        <v>0</v>
      </c>
      <c r="E38" s="122">
        <f>SUM(E36:E37)</f>
        <v>1340674.5375000001</v>
      </c>
      <c r="F38" s="114">
        <f>SUM(F36:F37)</f>
        <v>-1340674.5375000001</v>
      </c>
    </row>
    <row r="39" spans="1:6">
      <c r="A39" s="26" t="s">
        <v>57</v>
      </c>
      <c r="B39" s="144" t="s">
        <v>7</v>
      </c>
      <c r="C39" s="145"/>
      <c r="D39" s="111">
        <f>'2000 Forecast'!P35+'2000 Forecast'!P36</f>
        <v>0</v>
      </c>
      <c r="E39" s="121">
        <f>+Research!P39</f>
        <v>252000</v>
      </c>
      <c r="F39" s="112">
        <f t="shared" ref="F39:F45" si="1">+D39-E39</f>
        <v>-252000</v>
      </c>
    </row>
    <row r="40" spans="1:6">
      <c r="A40" s="26" t="s">
        <v>58</v>
      </c>
      <c r="B40" s="144" t="s">
        <v>8</v>
      </c>
      <c r="C40" s="145"/>
      <c r="D40" s="111">
        <f>'2000 Forecast'!P37</f>
        <v>0</v>
      </c>
      <c r="E40" s="121">
        <f>+Research!P40</f>
        <v>9000</v>
      </c>
      <c r="F40" s="112">
        <f t="shared" si="1"/>
        <v>-9000</v>
      </c>
    </row>
    <row r="41" spans="1:6">
      <c r="A41" s="26" t="s">
        <v>57</v>
      </c>
      <c r="B41" s="144" t="s">
        <v>9</v>
      </c>
      <c r="C41" s="145"/>
      <c r="D41" s="111">
        <f>+'2000 Forecast'!P38</f>
        <v>0</v>
      </c>
      <c r="E41" s="121">
        <f>+Research!P41</f>
        <v>90000</v>
      </c>
      <c r="F41" s="112">
        <f t="shared" si="1"/>
        <v>-90000</v>
      </c>
    </row>
    <row r="42" spans="1:6">
      <c r="A42" s="26" t="s">
        <v>59</v>
      </c>
      <c r="B42" s="144" t="s">
        <v>10</v>
      </c>
      <c r="C42" s="145"/>
      <c r="D42" s="111">
        <f>+'2000 Forecast'!P39</f>
        <v>0</v>
      </c>
      <c r="E42" s="121">
        <f>+Research!P42</f>
        <v>36000</v>
      </c>
      <c r="F42" s="112">
        <f t="shared" si="1"/>
        <v>-36000</v>
      </c>
    </row>
    <row r="43" spans="1:6">
      <c r="A43" s="26" t="s">
        <v>60</v>
      </c>
      <c r="B43" s="144" t="s">
        <v>11</v>
      </c>
      <c r="C43" s="145"/>
      <c r="D43" s="111">
        <f>+'2000 Forecast'!P40</f>
        <v>0</v>
      </c>
      <c r="E43" s="121">
        <f>+Research!P43</f>
        <v>300000</v>
      </c>
      <c r="F43" s="112">
        <f t="shared" si="1"/>
        <v>-300000</v>
      </c>
    </row>
    <row r="44" spans="1:6">
      <c r="A44" s="27" t="s">
        <v>61</v>
      </c>
      <c r="B44" s="144" t="s">
        <v>12</v>
      </c>
      <c r="C44" s="145"/>
      <c r="D44" s="111">
        <f>+'2000 Forecast'!P41</f>
        <v>0</v>
      </c>
      <c r="E44" s="121">
        <f>+Research!P44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Forecast'!P42</f>
        <v>0</v>
      </c>
      <c r="E45" s="121">
        <f>+Research!P45</f>
        <v>18000</v>
      </c>
      <c r="F45" s="112">
        <f t="shared" si="1"/>
        <v>-18000</v>
      </c>
    </row>
    <row r="46" spans="1:6">
      <c r="A46" s="87"/>
      <c r="B46" s="143" t="s">
        <v>14</v>
      </c>
      <c r="C46" s="140"/>
      <c r="D46" s="113">
        <f>SUM(D39:D45)</f>
        <v>0</v>
      </c>
      <c r="E46" s="122">
        <f>SUM(E39:E45)</f>
        <v>705000</v>
      </c>
      <c r="F46" s="114">
        <f>SUM(F39:F45)</f>
        <v>-705000</v>
      </c>
    </row>
    <row r="47" spans="1:6">
      <c r="A47" s="26" t="s">
        <v>60</v>
      </c>
      <c r="B47" s="144" t="s">
        <v>15</v>
      </c>
      <c r="C47" s="145"/>
      <c r="D47" s="111">
        <f>+'2000 Forecast'!P44</f>
        <v>0</v>
      </c>
      <c r="E47" s="121">
        <f>+Research!P47</f>
        <v>0</v>
      </c>
      <c r="F47" s="112">
        <f t="shared" ref="F47:F52" si="2">+D47-E47</f>
        <v>0</v>
      </c>
    </row>
    <row r="48" spans="1:6">
      <c r="A48" s="26" t="s">
        <v>63</v>
      </c>
      <c r="B48" s="144" t="s">
        <v>16</v>
      </c>
      <c r="C48" s="145"/>
      <c r="D48" s="111">
        <f>+'2000 Forecast'!P45</f>
        <v>0</v>
      </c>
      <c r="E48" s="121">
        <f>+Research!P48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Forecast'!P46</f>
        <v>0</v>
      </c>
      <c r="E49" s="121">
        <f>+Research!P49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Forecast'!P47</f>
        <v>0</v>
      </c>
      <c r="E50" s="121">
        <f>+Research!P50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Forecast'!P48</f>
        <v>0</v>
      </c>
      <c r="E51" s="121">
        <f>+Research!P51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Forecast'!P49</f>
        <v>0</v>
      </c>
      <c r="E52" s="121">
        <f>+Research!P52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Forecast'!P51+'2000 Forecast'!P52</f>
        <v>0</v>
      </c>
      <c r="E54" s="121">
        <f>+Research!P54</f>
        <v>458000</v>
      </c>
      <c r="F54" s="112">
        <f>+D54-E54</f>
        <v>-458000</v>
      </c>
    </row>
    <row r="55" spans="1:6">
      <c r="A55" s="26" t="s">
        <v>65</v>
      </c>
      <c r="B55" s="144" t="s">
        <v>23</v>
      </c>
      <c r="C55" s="145"/>
      <c r="D55" s="111">
        <f>+'2000 Forecast'!P53</f>
        <v>0</v>
      </c>
      <c r="E55" s="121">
        <f>+Research!P55</f>
        <v>0</v>
      </c>
      <c r="F55" s="112">
        <f>+D55-E55</f>
        <v>0</v>
      </c>
    </row>
    <row r="56" spans="1:6">
      <c r="A56" s="26" t="s">
        <v>64</v>
      </c>
      <c r="B56" s="144" t="s">
        <v>24</v>
      </c>
      <c r="C56" s="145"/>
      <c r="D56" s="111">
        <f>+'2000 Forecast'!P54+'2000 Forecast'!P55+'2000 Forecast'!P56</f>
        <v>0</v>
      </c>
      <c r="E56" s="121">
        <f>+Research!P56</f>
        <v>0</v>
      </c>
      <c r="F56" s="112">
        <f>+D56-E56</f>
        <v>0</v>
      </c>
    </row>
    <row r="57" spans="1:6">
      <c r="A57" s="87"/>
      <c r="B57" s="143" t="s">
        <v>25</v>
      </c>
      <c r="C57" s="140"/>
      <c r="D57" s="113">
        <f>SUM(D54:D56)</f>
        <v>0</v>
      </c>
      <c r="E57" s="122">
        <f>SUM(E54:E56)</f>
        <v>458000</v>
      </c>
      <c r="F57" s="114">
        <f>SUM(F54:F56)</f>
        <v>-458000</v>
      </c>
    </row>
    <row r="58" spans="1:6">
      <c r="A58" s="26" t="s">
        <v>66</v>
      </c>
      <c r="B58" s="144" t="s">
        <v>26</v>
      </c>
      <c r="C58" s="145"/>
      <c r="D58" s="111">
        <f>+'2000 Forecast'!P58</f>
        <v>0</v>
      </c>
      <c r="E58" s="121">
        <f>+Research!P58</f>
        <v>0</v>
      </c>
      <c r="F58" s="112">
        <f t="shared" ref="F58:F64" si="3">+D58-E58</f>
        <v>0</v>
      </c>
    </row>
    <row r="59" spans="1:6">
      <c r="A59" s="26" t="s">
        <v>67</v>
      </c>
      <c r="B59" s="144" t="s">
        <v>27</v>
      </c>
      <c r="C59" s="145"/>
      <c r="D59" s="111">
        <f>+'2000 Forecast'!P59</f>
        <v>0</v>
      </c>
      <c r="E59" s="121">
        <f>+Research!P59</f>
        <v>0</v>
      </c>
      <c r="F59" s="112">
        <f t="shared" si="3"/>
        <v>0</v>
      </c>
    </row>
    <row r="60" spans="1:6">
      <c r="A60" s="26" t="s">
        <v>68</v>
      </c>
      <c r="B60" s="144" t="s">
        <v>28</v>
      </c>
      <c r="C60" s="145"/>
      <c r="D60" s="111">
        <f>+'2000 Forecast'!P60</f>
        <v>0</v>
      </c>
      <c r="E60" s="121">
        <f>+Research!P60</f>
        <v>37000</v>
      </c>
      <c r="F60" s="112">
        <f t="shared" si="3"/>
        <v>-37000</v>
      </c>
    </row>
    <row r="61" spans="1:6">
      <c r="A61" s="26" t="s">
        <v>69</v>
      </c>
      <c r="B61" s="144" t="s">
        <v>29</v>
      </c>
      <c r="C61" s="145"/>
      <c r="D61" s="111">
        <f>+'2000 Forecast'!P61</f>
        <v>0</v>
      </c>
      <c r="E61" s="121">
        <f>+Research!P61</f>
        <v>6000</v>
      </c>
      <c r="F61" s="112">
        <f t="shared" si="3"/>
        <v>-6000</v>
      </c>
    </row>
    <row r="62" spans="1:6">
      <c r="A62" s="26" t="s">
        <v>67</v>
      </c>
      <c r="B62" s="144" t="s">
        <v>30</v>
      </c>
      <c r="C62" s="145"/>
      <c r="D62" s="111">
        <f>+'2000 Forecast'!P62</f>
        <v>0</v>
      </c>
      <c r="E62" s="121">
        <f>+Research!P62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Forecast'!P63</f>
        <v>0</v>
      </c>
      <c r="E63" s="121">
        <f>+Research!P63</f>
        <v>120000</v>
      </c>
      <c r="F63" s="112">
        <f t="shared" si="3"/>
        <v>-120000</v>
      </c>
    </row>
    <row r="64" spans="1:6">
      <c r="A64" s="26" t="s">
        <v>68</v>
      </c>
      <c r="B64" s="144" t="s">
        <v>32</v>
      </c>
      <c r="C64" s="145"/>
      <c r="D64" s="111">
        <f>+'2000 Forecast'!P64</f>
        <v>0</v>
      </c>
      <c r="E64" s="121">
        <f>+Research!P64</f>
        <v>500</v>
      </c>
      <c r="F64" s="112">
        <f t="shared" si="3"/>
        <v>-500</v>
      </c>
    </row>
    <row r="65" spans="1:6">
      <c r="A65" s="87"/>
      <c r="B65" s="143" t="s">
        <v>33</v>
      </c>
      <c r="C65" s="140"/>
      <c r="D65" s="113">
        <f>SUM(D58:D64)</f>
        <v>0</v>
      </c>
      <c r="E65" s="122">
        <f>SUM(E58:E64)</f>
        <v>163500</v>
      </c>
      <c r="F65" s="114">
        <f>SUM(F58:F64)</f>
        <v>-163500</v>
      </c>
    </row>
    <row r="66" spans="1:6">
      <c r="A66" s="26" t="s">
        <v>70</v>
      </c>
      <c r="B66" s="144" t="s">
        <v>34</v>
      </c>
      <c r="C66" s="145"/>
      <c r="D66" s="111">
        <f>+'2000 Forecast'!P66</f>
        <v>0</v>
      </c>
      <c r="E66" s="121">
        <f>+Research!P66</f>
        <v>24000</v>
      </c>
      <c r="F66" s="112">
        <f>+D66-E66</f>
        <v>-24000</v>
      </c>
    </row>
    <row r="67" spans="1:6">
      <c r="A67" s="26" t="s">
        <v>71</v>
      </c>
      <c r="B67" s="144" t="s">
        <v>35</v>
      </c>
      <c r="C67" s="145"/>
      <c r="D67" s="111">
        <f>+'2000 Forecast'!P67</f>
        <v>0</v>
      </c>
      <c r="E67" s="121">
        <f>+Research!P67</f>
        <v>0</v>
      </c>
      <c r="F67" s="112">
        <f>+D67-E67</f>
        <v>0</v>
      </c>
    </row>
    <row r="68" spans="1:6">
      <c r="A68" s="26" t="s">
        <v>71</v>
      </c>
      <c r="B68" s="144" t="s">
        <v>36</v>
      </c>
      <c r="C68" s="145"/>
      <c r="D68" s="111">
        <f>+'2000 Forecast'!P68</f>
        <v>0</v>
      </c>
      <c r="E68" s="121">
        <f>+Research!P68</f>
        <v>0</v>
      </c>
      <c r="F68" s="112">
        <f>+D68-E68</f>
        <v>0</v>
      </c>
    </row>
    <row r="69" spans="1:6">
      <c r="A69" s="26" t="s">
        <v>70</v>
      </c>
      <c r="B69" s="144" t="s">
        <v>37</v>
      </c>
      <c r="C69" s="145"/>
      <c r="D69" s="111">
        <f>+'2000 Forecast'!P69</f>
        <v>0</v>
      </c>
      <c r="E69" s="121">
        <f>+Research!P69</f>
        <v>0</v>
      </c>
      <c r="F69" s="112">
        <f>+D69-E69</f>
        <v>0</v>
      </c>
    </row>
    <row r="70" spans="1:6">
      <c r="A70" s="87"/>
      <c r="B70" s="143" t="s">
        <v>38</v>
      </c>
      <c r="C70" s="140"/>
      <c r="D70" s="113">
        <f>SUM(D66:D69)</f>
        <v>0</v>
      </c>
      <c r="E70" s="122">
        <f>SUM(E66:E69)</f>
        <v>24000</v>
      </c>
      <c r="F70" s="114">
        <f>SUM(F66:F69)</f>
        <v>-24000</v>
      </c>
    </row>
    <row r="71" spans="1:6">
      <c r="A71" s="26" t="s">
        <v>72</v>
      </c>
      <c r="B71" s="146" t="s">
        <v>39</v>
      </c>
      <c r="C71" s="145"/>
      <c r="D71" s="111">
        <f>+'2000 Forecast'!P71</f>
        <v>0</v>
      </c>
      <c r="E71" s="121">
        <f>+Research!P71</f>
        <v>0</v>
      </c>
      <c r="F71" s="112">
        <f>+D71-E71</f>
        <v>0</v>
      </c>
    </row>
    <row r="72" spans="1:6">
      <c r="A72" s="26" t="s">
        <v>73</v>
      </c>
      <c r="B72" s="144" t="s">
        <v>40</v>
      </c>
      <c r="C72" s="145"/>
      <c r="D72" s="111">
        <f>+'2000 Forecast'!P72</f>
        <v>0</v>
      </c>
      <c r="E72" s="121">
        <f>+Research!P72</f>
        <v>0</v>
      </c>
      <c r="F72" s="112">
        <f>+D72-E72</f>
        <v>0</v>
      </c>
    </row>
    <row r="73" spans="1:6">
      <c r="A73" s="26" t="s">
        <v>74</v>
      </c>
      <c r="B73" s="144" t="s">
        <v>41</v>
      </c>
      <c r="C73" s="145"/>
      <c r="D73" s="111">
        <f>+'2000 Forecast'!P73</f>
        <v>0</v>
      </c>
      <c r="E73" s="121">
        <f>+Research!P73</f>
        <v>0</v>
      </c>
      <c r="F73" s="112">
        <f>+D73-E73</f>
        <v>0</v>
      </c>
    </row>
    <row r="74" spans="1:6">
      <c r="A74" s="87"/>
      <c r="B74" s="143" t="s">
        <v>42</v>
      </c>
      <c r="C74" s="140"/>
      <c r="D74" s="113">
        <f>SUM(D72:D73)</f>
        <v>0</v>
      </c>
      <c r="E74" s="122">
        <f>SUM(E72:E73)</f>
        <v>0</v>
      </c>
      <c r="F74" s="114">
        <f>SUM(F72:F73)</f>
        <v>0</v>
      </c>
    </row>
    <row r="75" spans="1:6">
      <c r="A75" s="26" t="s">
        <v>75</v>
      </c>
      <c r="B75" s="144" t="s">
        <v>43</v>
      </c>
      <c r="C75" s="138"/>
      <c r="D75" s="111">
        <f>+'2000 Forecast'!P77+'2000 Forecast'!P76+'2000 Forecast'!P75</f>
        <v>0</v>
      </c>
      <c r="E75" s="121">
        <f>+Research!P75</f>
        <v>270000</v>
      </c>
      <c r="F75" s="112">
        <f t="shared" ref="F75:F80" si="4">+D75-E75</f>
        <v>-270000</v>
      </c>
    </row>
    <row r="76" spans="1:6">
      <c r="A76" s="26" t="s">
        <v>76</v>
      </c>
      <c r="B76" s="144" t="s">
        <v>44</v>
      </c>
      <c r="C76" s="138"/>
      <c r="D76" s="111">
        <f>+'2000 Forecast'!P78</f>
        <v>0</v>
      </c>
      <c r="E76" s="121">
        <f>+Research!P76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Forecast'!P79</f>
        <v>0</v>
      </c>
      <c r="E77" s="121">
        <f>+Research!P77</f>
        <v>240000</v>
      </c>
      <c r="F77" s="112">
        <f t="shared" si="4"/>
        <v>-240000</v>
      </c>
    </row>
    <row r="78" spans="1:6">
      <c r="A78" s="26" t="s">
        <v>78</v>
      </c>
      <c r="B78" s="144" t="s">
        <v>51</v>
      </c>
      <c r="C78" s="138"/>
      <c r="D78" s="111">
        <f>+'2000 Forecast'!P80</f>
        <v>0</v>
      </c>
      <c r="E78" s="121">
        <f>+Research!P78</f>
        <v>540000</v>
      </c>
      <c r="F78" s="112">
        <f t="shared" si="4"/>
        <v>-540000</v>
      </c>
    </row>
    <row r="79" spans="1:6">
      <c r="A79" s="26" t="s">
        <v>63</v>
      </c>
      <c r="B79" s="144" t="s">
        <v>52</v>
      </c>
      <c r="C79" s="138"/>
      <c r="D79" s="111"/>
      <c r="E79" s="121">
        <f>+Research!P79</f>
        <v>267048</v>
      </c>
      <c r="F79" s="112">
        <f t="shared" si="4"/>
        <v>-267048</v>
      </c>
    </row>
    <row r="80" spans="1:6">
      <c r="A80" s="26" t="s">
        <v>63</v>
      </c>
      <c r="B80" s="144" t="s">
        <v>45</v>
      </c>
      <c r="C80" s="138"/>
      <c r="D80" s="111">
        <f>+'2000 Forecast'!P82</f>
        <v>0</v>
      </c>
      <c r="E80" s="121">
        <f>+Research!P80</f>
        <v>0</v>
      </c>
      <c r="F80" s="112">
        <f t="shared" si="4"/>
        <v>0</v>
      </c>
    </row>
    <row r="81" spans="1:6">
      <c r="A81" s="87"/>
      <c r="B81" s="143" t="s">
        <v>46</v>
      </c>
      <c r="C81" s="140"/>
      <c r="D81" s="113">
        <f>D35+D38+D46+D53+D57+D65+D70+D71+D74+SUM(D75:D80)</f>
        <v>0</v>
      </c>
      <c r="E81" s="122">
        <f>E35+E38+E46+E53+E57+E65+E70+E71+E74+SUM(E75:E80)</f>
        <v>10520529.5375</v>
      </c>
      <c r="F81" s="114">
        <f>F35+F38+F46+F53+F57+F65+F70+F71+F74+SUM(F75:F80)</f>
        <v>-10520529.5375</v>
      </c>
    </row>
    <row r="82" spans="1:6">
      <c r="A82" s="26" t="s">
        <v>79</v>
      </c>
      <c r="B82" s="144" t="s">
        <v>47</v>
      </c>
      <c r="C82" s="138"/>
      <c r="D82" s="111"/>
      <c r="E82" s="121">
        <f>+Research!P82</f>
        <v>0</v>
      </c>
      <c r="F82" s="112">
        <f>+D82-E82</f>
        <v>0</v>
      </c>
    </row>
    <row r="83" spans="1:6">
      <c r="A83" s="26" t="s">
        <v>80</v>
      </c>
      <c r="B83" s="144" t="s">
        <v>48</v>
      </c>
      <c r="C83" s="138"/>
      <c r="D83" s="111"/>
      <c r="E83" s="121">
        <f>+Research!P83</f>
        <v>0</v>
      </c>
      <c r="F83" s="112">
        <f>+D83-E83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>
        <f>+Research!P85</f>
        <v>0</v>
      </c>
      <c r="F85" s="112">
        <f>+D85-E85</f>
        <v>0</v>
      </c>
    </row>
    <row r="86" spans="1:6" ht="14.4" thickBot="1">
      <c r="A86" s="28"/>
      <c r="B86" s="149" t="s">
        <v>49</v>
      </c>
      <c r="C86" s="150"/>
      <c r="D86" s="117">
        <f>D84+D81+D85</f>
        <v>0</v>
      </c>
      <c r="E86" s="124">
        <f>E84+E81+E85</f>
        <v>10520529.5375</v>
      </c>
      <c r="F86" s="118">
        <f>F84+F81+F85</f>
        <v>-10520529.5375</v>
      </c>
    </row>
    <row r="87" spans="1:6">
      <c r="D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</row>
    <row r="89" spans="1:6">
      <c r="D89" s="46"/>
    </row>
    <row r="90" spans="1:6">
      <c r="D90" s="46"/>
    </row>
    <row r="91" spans="1:6">
      <c r="D91" s="46"/>
    </row>
    <row r="92" spans="1:6">
      <c r="D92" s="46"/>
    </row>
    <row r="93" spans="1:6">
      <c r="D93" s="46"/>
    </row>
    <row r="94" spans="1:6">
      <c r="D94" s="46"/>
    </row>
    <row r="95" spans="1:6">
      <c r="D95" s="46"/>
    </row>
    <row r="96" spans="1:6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5"/>
  <sheetViews>
    <sheetView topLeftCell="A35" workbookViewId="0">
      <selection activeCell="C20" sqref="C20"/>
    </sheetView>
  </sheetViews>
  <sheetFormatPr defaultColWidth="9.33203125" defaultRowHeight="13.2"/>
  <cols>
    <col min="1" max="2" width="9.33203125" style="207"/>
    <col min="3" max="3" width="35" style="207" customWidth="1"/>
    <col min="4" max="4" width="0" style="207" hidden="1" customWidth="1"/>
    <col min="5" max="5" width="11.6640625" style="207" hidden="1" customWidth="1"/>
    <col min="6" max="6" width="40.33203125" style="207" bestFit="1" customWidth="1"/>
    <col min="7" max="7" width="15.33203125" style="207" customWidth="1"/>
    <col min="8" max="8" width="17.77734375" style="251" customWidth="1"/>
    <col min="9" max="9" width="1.109375" style="207" hidden="1" customWidth="1"/>
    <col min="10" max="11" width="0" style="207" hidden="1" customWidth="1"/>
    <col min="12" max="12" width="1.109375" style="207" hidden="1" customWidth="1"/>
    <col min="13" max="13" width="11" style="207" hidden="1" customWidth="1"/>
    <col min="14" max="14" width="12.6640625" style="207" hidden="1" customWidth="1"/>
    <col min="15" max="15" width="1.109375" style="207" hidden="1" customWidth="1"/>
    <col min="16" max="17" width="0" style="207" hidden="1" customWidth="1"/>
    <col min="18" max="18" width="1.109375" style="207" hidden="1" customWidth="1"/>
    <col min="19" max="20" width="0" style="207" hidden="1" customWidth="1"/>
    <col min="21" max="21" width="1.109375" style="207" hidden="1" customWidth="1"/>
    <col min="22" max="22" width="11.77734375" style="207" hidden="1" customWidth="1"/>
    <col min="23" max="23" width="12.109375" style="207" hidden="1" customWidth="1"/>
    <col min="24" max="24" width="1.33203125" style="207" hidden="1" customWidth="1"/>
    <col min="25" max="26" width="0" style="207" hidden="1" customWidth="1"/>
    <col min="27" max="27" width="1.109375" style="207" hidden="1" customWidth="1"/>
    <col min="28" max="28" width="11.6640625" style="207" hidden="1" customWidth="1"/>
    <col min="29" max="31" width="0" style="207" hidden="1" customWidth="1"/>
    <col min="32" max="16384" width="9.33203125" style="207"/>
  </cols>
  <sheetData>
    <row r="1" spans="3:29" hidden="1">
      <c r="C1" s="207" t="s">
        <v>259</v>
      </c>
      <c r="D1" s="208"/>
      <c r="E1" s="209">
        <f>+D1*$E$82</f>
        <v>0</v>
      </c>
      <c r="F1" s="210"/>
      <c r="G1" s="211">
        <v>0</v>
      </c>
      <c r="H1" s="250">
        <f>+G1*$H$82</f>
        <v>0</v>
      </c>
      <c r="I1" s="210"/>
      <c r="J1" s="213">
        <v>0.05</v>
      </c>
      <c r="K1" s="212">
        <f>+J1*$K$82</f>
        <v>8132.9500000000007</v>
      </c>
      <c r="L1" s="210"/>
      <c r="M1" s="208"/>
      <c r="N1" s="212">
        <f>+M1*$N$82</f>
        <v>0</v>
      </c>
      <c r="O1" s="210"/>
      <c r="P1" s="211"/>
      <c r="Q1" s="212">
        <f>+P1*$Q$82</f>
        <v>0</v>
      </c>
      <c r="R1" s="210"/>
      <c r="S1" s="208">
        <v>0.1</v>
      </c>
      <c r="T1" s="212">
        <f>+S1*$T$82</f>
        <v>5628</v>
      </c>
      <c r="U1" s="210"/>
      <c r="V1" s="208">
        <v>0.01</v>
      </c>
      <c r="W1" s="212">
        <f>+V1*$W$82</f>
        <v>1466.17</v>
      </c>
      <c r="X1" s="210"/>
      <c r="Y1" s="213">
        <f>(+V1+S1+P1+M1+J1+G1+D1)/7</f>
        <v>2.2857142857142857E-2</v>
      </c>
      <c r="Z1" s="212">
        <f>+Y1*$Z$82</f>
        <v>1028.5714285714287</v>
      </c>
    </row>
    <row r="2" spans="3:29" hidden="1">
      <c r="D2" s="214"/>
      <c r="E2" s="215"/>
      <c r="F2" s="210"/>
      <c r="G2" s="216"/>
      <c r="H2" s="218"/>
      <c r="I2" s="210"/>
      <c r="J2" s="218"/>
      <c r="K2" s="217"/>
      <c r="L2" s="210"/>
      <c r="M2" s="214"/>
      <c r="N2" s="217"/>
      <c r="O2" s="210"/>
      <c r="P2" s="216"/>
      <c r="Q2" s="217"/>
      <c r="R2" s="210"/>
      <c r="S2" s="214"/>
      <c r="T2" s="217"/>
      <c r="U2" s="210"/>
      <c r="V2" s="214"/>
      <c r="W2" s="217" t="s">
        <v>260</v>
      </c>
      <c r="X2" s="210"/>
      <c r="Y2" s="218"/>
      <c r="Z2" s="219">
        <v>-14019</v>
      </c>
      <c r="AB2" s="207">
        <f>(+Z2+Z2)/12</f>
        <v>-2336.5</v>
      </c>
      <c r="AC2" s="207" t="s">
        <v>261</v>
      </c>
    </row>
    <row r="3" spans="3:29" hidden="1">
      <c r="W3" s="207" t="s">
        <v>262</v>
      </c>
    </row>
    <row r="4" spans="3:29" hidden="1">
      <c r="C4" s="207" t="s">
        <v>263</v>
      </c>
      <c r="G4" s="211">
        <v>0</v>
      </c>
      <c r="H4" s="250">
        <f>+G4*$H$82</f>
        <v>0</v>
      </c>
      <c r="I4" s="210"/>
      <c r="J4" s="213">
        <v>0</v>
      </c>
      <c r="K4" s="212">
        <f>+J4*$K$82</f>
        <v>0</v>
      </c>
      <c r="L4" s="210"/>
      <c r="M4" s="208">
        <v>0.4</v>
      </c>
      <c r="N4" s="212">
        <f>+M4*$N$82</f>
        <v>41230.800000000003</v>
      </c>
      <c r="O4" s="210"/>
      <c r="P4" s="211">
        <v>0.4</v>
      </c>
      <c r="Q4" s="212">
        <f>+P4*$Q$82</f>
        <v>46260</v>
      </c>
      <c r="R4" s="210"/>
      <c r="S4" s="208"/>
      <c r="T4" s="212">
        <f>+S4*$T$82</f>
        <v>0</v>
      </c>
      <c r="U4" s="210"/>
      <c r="V4" s="208">
        <v>0.02</v>
      </c>
      <c r="W4" s="212">
        <f>+V4*$W$82</f>
        <v>2932.34</v>
      </c>
      <c r="X4" s="210"/>
      <c r="Y4" s="213">
        <f>(+V4+S4+P4+M4+J4+G4+D4)/7</f>
        <v>0.11714285714285715</v>
      </c>
      <c r="Z4" s="212">
        <f>+Y4*$Z$82</f>
        <v>5271.4285714285716</v>
      </c>
    </row>
    <row r="5" spans="3:29" hidden="1"/>
    <row r="6" spans="3:29" hidden="1">
      <c r="C6" s="220" t="s">
        <v>264</v>
      </c>
      <c r="D6" s="208"/>
      <c r="E6" s="209">
        <f>+D6*$E$82</f>
        <v>0</v>
      </c>
      <c r="F6" s="210"/>
      <c r="G6" s="211"/>
      <c r="H6" s="250">
        <f>+G6*$H$82</f>
        <v>0</v>
      </c>
      <c r="I6" s="210"/>
      <c r="J6" s="213"/>
      <c r="K6" s="212">
        <f>+J6*$K$82</f>
        <v>0</v>
      </c>
      <c r="L6" s="210"/>
      <c r="M6" s="208"/>
      <c r="N6" s="212">
        <f>+M6*$N$82</f>
        <v>0</v>
      </c>
      <c r="O6" s="210"/>
      <c r="P6" s="213"/>
      <c r="Q6" s="212">
        <f>+P6*$Q$82</f>
        <v>0</v>
      </c>
      <c r="R6" s="210"/>
      <c r="S6" s="208">
        <v>0.1</v>
      </c>
      <c r="T6" s="212">
        <f>+S6*$T$82</f>
        <v>5628</v>
      </c>
      <c r="U6" s="210"/>
      <c r="V6" s="208"/>
      <c r="W6" s="212">
        <f>+V6*$W$82</f>
        <v>0</v>
      </c>
      <c r="X6" s="210"/>
      <c r="Y6" s="213">
        <f>(+V6+S6+P6+M6+J6+G6+D6)/7</f>
        <v>1.4285714285714287E-2</v>
      </c>
      <c r="Z6" s="212">
        <f>+Y6*$Z$82</f>
        <v>642.85714285714289</v>
      </c>
      <c r="AA6" s="210"/>
      <c r="AB6" s="221">
        <f>+Z6+W6+T6+Q6+N6+K6+H6+E6</f>
        <v>6270.8571428571431</v>
      </c>
    </row>
    <row r="7" spans="3:29" hidden="1"/>
    <row r="8" spans="3:29" hidden="1"/>
    <row r="9" spans="3:29" hidden="1"/>
    <row r="10" spans="3:29" hidden="1"/>
    <row r="15" spans="3:29" ht="20.399999999999999">
      <c r="C15" s="265" t="s">
        <v>265</v>
      </c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spans="3:29" ht="20.399999999999999">
      <c r="C16" s="265" t="s">
        <v>376</v>
      </c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spans="2:31" ht="20.399999999999999"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spans="2:31" ht="13.8" thickBot="1"/>
    <row r="19" spans="2:31">
      <c r="C19" s="222"/>
      <c r="D19" s="259" t="s">
        <v>266</v>
      </c>
      <c r="E19" s="260"/>
      <c r="F19" s="223"/>
      <c r="G19" s="266" t="s">
        <v>267</v>
      </c>
      <c r="H19" s="267"/>
      <c r="I19" s="223"/>
      <c r="J19" s="259" t="s">
        <v>268</v>
      </c>
      <c r="K19" s="260"/>
      <c r="L19" s="223"/>
      <c r="M19" s="259" t="s">
        <v>269</v>
      </c>
      <c r="N19" s="260"/>
      <c r="O19" s="223"/>
      <c r="P19" s="259" t="s">
        <v>270</v>
      </c>
      <c r="Q19" s="260"/>
      <c r="R19" s="223"/>
      <c r="S19" s="259" t="s">
        <v>271</v>
      </c>
      <c r="T19" s="260"/>
      <c r="U19" s="223"/>
      <c r="V19" s="259" t="s">
        <v>272</v>
      </c>
      <c r="W19" s="260"/>
      <c r="X19" s="223"/>
      <c r="Y19" s="259" t="s">
        <v>273</v>
      </c>
      <c r="Z19" s="260"/>
      <c r="AA19" s="223"/>
      <c r="AB19" s="224"/>
    </row>
    <row r="20" spans="2:31">
      <c r="C20" s="225" t="s">
        <v>274</v>
      </c>
      <c r="D20" s="261" t="s">
        <v>275</v>
      </c>
      <c r="E20" s="262"/>
      <c r="F20" s="210"/>
      <c r="G20" s="263" t="s">
        <v>275</v>
      </c>
      <c r="H20" s="264"/>
      <c r="I20" s="210"/>
      <c r="J20" s="261" t="s">
        <v>275</v>
      </c>
      <c r="K20" s="262"/>
      <c r="L20" s="210"/>
      <c r="M20" s="261" t="s">
        <v>275</v>
      </c>
      <c r="N20" s="262"/>
      <c r="O20" s="210"/>
      <c r="P20" s="261" t="s">
        <v>275</v>
      </c>
      <c r="Q20" s="262"/>
      <c r="R20" s="210"/>
      <c r="S20" s="261" t="s">
        <v>275</v>
      </c>
      <c r="T20" s="262"/>
      <c r="U20" s="210"/>
      <c r="V20" s="261" t="s">
        <v>275</v>
      </c>
      <c r="W20" s="262"/>
      <c r="X20" s="210"/>
      <c r="Y20" s="261" t="s">
        <v>276</v>
      </c>
      <c r="Z20" s="262"/>
      <c r="AA20" s="210"/>
      <c r="AB20" s="226" t="s">
        <v>277</v>
      </c>
      <c r="AD20" s="207" t="s">
        <v>278</v>
      </c>
    </row>
    <row r="21" spans="2:31" ht="13.8" thickBot="1">
      <c r="C21" s="220"/>
      <c r="D21" s="227" t="s">
        <v>279</v>
      </c>
      <c r="E21" s="228" t="s">
        <v>280</v>
      </c>
      <c r="F21" s="210"/>
      <c r="G21" s="227" t="s">
        <v>377</v>
      </c>
      <c r="H21" s="252" t="s">
        <v>378</v>
      </c>
      <c r="I21" s="210"/>
      <c r="J21" s="227" t="s">
        <v>279</v>
      </c>
      <c r="K21" s="228" t="s">
        <v>280</v>
      </c>
      <c r="L21" s="210"/>
      <c r="M21" s="227" t="s">
        <v>279</v>
      </c>
      <c r="N21" s="228" t="s">
        <v>280</v>
      </c>
      <c r="O21" s="210"/>
      <c r="P21" s="227" t="s">
        <v>279</v>
      </c>
      <c r="Q21" s="228" t="s">
        <v>280</v>
      </c>
      <c r="R21" s="210"/>
      <c r="S21" s="227" t="s">
        <v>279</v>
      </c>
      <c r="T21" s="228" t="s">
        <v>280</v>
      </c>
      <c r="U21" s="210"/>
      <c r="V21" s="227" t="s">
        <v>279</v>
      </c>
      <c r="W21" s="228" t="s">
        <v>280</v>
      </c>
      <c r="X21" s="210"/>
      <c r="Y21" s="227" t="s">
        <v>279</v>
      </c>
      <c r="Z21" s="228" t="s">
        <v>280</v>
      </c>
      <c r="AA21" s="210"/>
      <c r="AB21" s="229"/>
    </row>
    <row r="22" spans="2:31">
      <c r="C22" s="220"/>
      <c r="D22" s="220"/>
      <c r="E22" s="230"/>
      <c r="F22" s="210"/>
      <c r="G22" s="220"/>
      <c r="H22" s="250"/>
      <c r="I22" s="210"/>
      <c r="J22" s="220"/>
      <c r="K22" s="230"/>
      <c r="L22" s="210"/>
      <c r="M22" s="220"/>
      <c r="N22" s="230"/>
      <c r="O22" s="210"/>
      <c r="P22" s="220"/>
      <c r="Q22" s="230"/>
      <c r="R22" s="210"/>
      <c r="S22" s="208"/>
      <c r="T22" s="230"/>
      <c r="U22" s="210"/>
      <c r="V22" s="220"/>
      <c r="W22" s="230"/>
      <c r="X22" s="210"/>
      <c r="Y22" s="220"/>
      <c r="Z22" s="230"/>
      <c r="AA22" s="210"/>
      <c r="AB22" s="231"/>
    </row>
    <row r="23" spans="2:31">
      <c r="B23" s="232" t="s">
        <v>281</v>
      </c>
      <c r="C23" s="220" t="s">
        <v>282</v>
      </c>
      <c r="D23" s="208"/>
      <c r="E23" s="209">
        <f>+D23*$E$82</f>
        <v>0</v>
      </c>
      <c r="F23" s="210"/>
      <c r="G23" s="211"/>
      <c r="H23" s="250"/>
      <c r="I23" s="210"/>
      <c r="J23" s="213"/>
      <c r="K23" s="212">
        <f>+J23*$K$82</f>
        <v>0</v>
      </c>
      <c r="L23" s="210"/>
      <c r="M23" s="213"/>
      <c r="N23" s="212">
        <f>+M23*$N$82</f>
        <v>0</v>
      </c>
      <c r="O23" s="210"/>
      <c r="P23" s="213"/>
      <c r="Q23" s="212">
        <f t="shared" ref="Q23:Q70" si="0">+P23*$Q$82</f>
        <v>0</v>
      </c>
      <c r="R23" s="210"/>
      <c r="S23" s="213"/>
      <c r="T23" s="212">
        <f t="shared" ref="T23:T70" si="1">+S23*$T$82</f>
        <v>0</v>
      </c>
      <c r="U23" s="210"/>
      <c r="V23" s="213"/>
      <c r="W23" s="212">
        <f>+V23*$W$82</f>
        <v>0</v>
      </c>
      <c r="X23" s="210"/>
      <c r="Y23" s="213"/>
      <c r="Z23" s="212"/>
      <c r="AA23" s="210"/>
      <c r="AB23" s="221">
        <f>+Z23+W23+T23+Q23+N23+K23+H23+E23</f>
        <v>0</v>
      </c>
      <c r="AD23" s="207">
        <f>VLOOKUP(C23,[2]Headct!$C$23:$G$76,2,FALSE)</f>
        <v>4</v>
      </c>
      <c r="AE23" s="232" t="s">
        <v>281</v>
      </c>
    </row>
    <row r="24" spans="2:31">
      <c r="B24" s="232" t="s">
        <v>283</v>
      </c>
      <c r="C24" s="220" t="s">
        <v>284</v>
      </c>
      <c r="D24" s="208"/>
      <c r="E24" s="209"/>
      <c r="F24" s="210"/>
      <c r="G24" s="211"/>
      <c r="H24" s="250"/>
      <c r="I24" s="210"/>
      <c r="J24" s="213"/>
      <c r="K24" s="212">
        <f t="shared" ref="K24:K31" si="2">+J24*$K$82</f>
        <v>0</v>
      </c>
      <c r="L24" s="210"/>
      <c r="M24" s="213"/>
      <c r="N24" s="212"/>
      <c r="O24" s="210"/>
      <c r="P24" s="213"/>
      <c r="Q24" s="212">
        <f t="shared" si="0"/>
        <v>0</v>
      </c>
      <c r="R24" s="210"/>
      <c r="S24" s="213"/>
      <c r="T24" s="212">
        <f t="shared" si="1"/>
        <v>0</v>
      </c>
      <c r="U24" s="210"/>
      <c r="V24" s="213"/>
      <c r="W24" s="212">
        <f t="shared" ref="W24:W70" si="3">+V24*$W$82</f>
        <v>0</v>
      </c>
      <c r="X24" s="210"/>
      <c r="Y24" s="213"/>
      <c r="Z24" s="212"/>
      <c r="AA24" s="210"/>
      <c r="AB24" s="221">
        <f t="shared" ref="AB24:AB70" si="4">+Z24+W24+T24+Q24+N24+K24+H24+E24</f>
        <v>0</v>
      </c>
      <c r="AD24" s="207">
        <f>VLOOKUP(C24,[2]Headct!$C$23:$G$76,2,FALSE)</f>
        <v>5</v>
      </c>
      <c r="AE24" s="232" t="s">
        <v>283</v>
      </c>
    </row>
    <row r="25" spans="2:31">
      <c r="B25" s="232" t="s">
        <v>285</v>
      </c>
      <c r="C25" s="220" t="s">
        <v>286</v>
      </c>
      <c r="D25" s="208"/>
      <c r="E25" s="209"/>
      <c r="F25" s="210"/>
      <c r="G25" s="211"/>
      <c r="H25" s="250"/>
      <c r="I25" s="210"/>
      <c r="J25" s="213"/>
      <c r="K25" s="212">
        <f t="shared" si="2"/>
        <v>0</v>
      </c>
      <c r="L25" s="210"/>
      <c r="M25" s="213"/>
      <c r="N25" s="212"/>
      <c r="O25" s="210"/>
      <c r="P25" s="213">
        <v>1.3299999999999999E-2</v>
      </c>
      <c r="Q25" s="212">
        <f t="shared" si="0"/>
        <v>1538.145</v>
      </c>
      <c r="R25" s="210"/>
      <c r="S25" s="213"/>
      <c r="T25" s="212">
        <f t="shared" si="1"/>
        <v>0</v>
      </c>
      <c r="U25" s="210"/>
      <c r="V25" s="213"/>
      <c r="W25" s="212">
        <f t="shared" si="3"/>
        <v>0</v>
      </c>
      <c r="X25" s="210"/>
      <c r="Y25" s="213"/>
      <c r="Z25" s="212"/>
      <c r="AA25" s="210"/>
      <c r="AB25" s="221">
        <f t="shared" si="4"/>
        <v>1538.145</v>
      </c>
      <c r="AD25" s="207">
        <f>VLOOKUP(C25,[2]Headct!$C$23:$G$76,2,FALSE)</f>
        <v>5</v>
      </c>
      <c r="AE25" s="232" t="s">
        <v>285</v>
      </c>
    </row>
    <row r="26" spans="2:31">
      <c r="B26" s="232" t="s">
        <v>287</v>
      </c>
      <c r="C26" s="220" t="s">
        <v>288</v>
      </c>
      <c r="D26" s="208"/>
      <c r="E26" s="209"/>
      <c r="F26" s="210"/>
      <c r="G26" s="211"/>
      <c r="H26" s="250"/>
      <c r="I26" s="210"/>
      <c r="J26" s="213"/>
      <c r="K26" s="212">
        <f t="shared" si="2"/>
        <v>0</v>
      </c>
      <c r="L26" s="210"/>
      <c r="M26" s="213"/>
      <c r="N26" s="212"/>
      <c r="O26" s="210"/>
      <c r="P26" s="213"/>
      <c r="Q26" s="212">
        <f t="shared" si="0"/>
        <v>0</v>
      </c>
      <c r="R26" s="210"/>
      <c r="S26" s="213"/>
      <c r="T26" s="212">
        <f t="shared" si="1"/>
        <v>0</v>
      </c>
      <c r="U26" s="210"/>
      <c r="V26" s="213">
        <v>0.01</v>
      </c>
      <c r="W26" s="212">
        <f t="shared" si="3"/>
        <v>1466.17</v>
      </c>
      <c r="X26" s="210"/>
      <c r="Y26" s="213"/>
      <c r="Z26" s="212"/>
      <c r="AA26" s="210"/>
      <c r="AB26" s="221">
        <f t="shared" si="4"/>
        <v>1466.17</v>
      </c>
      <c r="AD26" s="207">
        <f>VLOOKUP(C26,[2]Headct!$C$23:$G$76,2,FALSE)</f>
        <v>3</v>
      </c>
      <c r="AE26" s="232" t="s">
        <v>287</v>
      </c>
    </row>
    <row r="27" spans="2:31">
      <c r="B27" s="232" t="s">
        <v>289</v>
      </c>
      <c r="C27" s="220" t="s">
        <v>290</v>
      </c>
      <c r="D27" s="208"/>
      <c r="E27" s="209">
        <f>+D27*$E$82</f>
        <v>0</v>
      </c>
      <c r="F27" s="210"/>
      <c r="G27" s="211"/>
      <c r="H27" s="250"/>
      <c r="I27" s="210"/>
      <c r="J27" s="213"/>
      <c r="K27" s="212">
        <f t="shared" si="2"/>
        <v>0</v>
      </c>
      <c r="L27" s="210"/>
      <c r="M27" s="213"/>
      <c r="N27" s="212"/>
      <c r="O27" s="210"/>
      <c r="P27" s="213"/>
      <c r="Q27" s="212">
        <f t="shared" si="0"/>
        <v>0</v>
      </c>
      <c r="R27" s="210"/>
      <c r="S27" s="213"/>
      <c r="T27" s="212">
        <f t="shared" si="1"/>
        <v>0</v>
      </c>
      <c r="U27" s="210"/>
      <c r="V27" s="213"/>
      <c r="W27" s="212">
        <f t="shared" si="3"/>
        <v>0</v>
      </c>
      <c r="X27" s="210"/>
      <c r="Y27" s="213"/>
      <c r="Z27" s="212"/>
      <c r="AA27" s="210"/>
      <c r="AB27" s="221">
        <f t="shared" si="4"/>
        <v>0</v>
      </c>
      <c r="AD27" s="207">
        <f>VLOOKUP(C27,[2]Headct!$C$23:$G$76,2,FALSE)</f>
        <v>38</v>
      </c>
      <c r="AE27" s="232" t="s">
        <v>289</v>
      </c>
    </row>
    <row r="28" spans="2:31">
      <c r="B28" s="232" t="s">
        <v>291</v>
      </c>
      <c r="C28" s="220" t="s">
        <v>292</v>
      </c>
      <c r="D28" s="208"/>
      <c r="E28" s="209"/>
      <c r="F28" s="210"/>
      <c r="G28" s="211"/>
      <c r="H28" s="250"/>
      <c r="I28" s="210"/>
      <c r="J28" s="213"/>
      <c r="K28" s="212">
        <f t="shared" si="2"/>
        <v>0</v>
      </c>
      <c r="L28" s="210"/>
      <c r="M28" s="213"/>
      <c r="N28" s="212"/>
      <c r="O28" s="210"/>
      <c r="P28" s="213"/>
      <c r="Q28" s="212">
        <f t="shared" si="0"/>
        <v>0</v>
      </c>
      <c r="R28" s="210"/>
      <c r="S28" s="213"/>
      <c r="T28" s="212">
        <f t="shared" si="1"/>
        <v>0</v>
      </c>
      <c r="U28" s="210"/>
      <c r="V28" s="213"/>
      <c r="W28" s="212">
        <f t="shared" si="3"/>
        <v>0</v>
      </c>
      <c r="X28" s="210"/>
      <c r="Y28" s="213"/>
      <c r="Z28" s="212"/>
      <c r="AA28" s="210"/>
      <c r="AB28" s="221">
        <f t="shared" si="4"/>
        <v>0</v>
      </c>
      <c r="AD28" s="207">
        <f>VLOOKUP(C28,[2]Headct!$C$23:$G$76,2,FALSE)</f>
        <v>13</v>
      </c>
      <c r="AE28" s="232" t="s">
        <v>291</v>
      </c>
    </row>
    <row r="29" spans="2:31">
      <c r="B29" s="232" t="s">
        <v>293</v>
      </c>
      <c r="C29" s="220" t="s">
        <v>294</v>
      </c>
      <c r="D29" s="208"/>
      <c r="E29" s="209"/>
      <c r="F29" s="210"/>
      <c r="G29" s="211"/>
      <c r="H29" s="250"/>
      <c r="I29" s="210"/>
      <c r="J29" s="213">
        <v>0.01</v>
      </c>
      <c r="K29" s="212">
        <f t="shared" si="2"/>
        <v>1626.5900000000001</v>
      </c>
      <c r="L29" s="210"/>
      <c r="M29" s="213"/>
      <c r="N29" s="212"/>
      <c r="O29" s="210"/>
      <c r="P29" s="213"/>
      <c r="Q29" s="212">
        <f t="shared" si="0"/>
        <v>0</v>
      </c>
      <c r="R29" s="210"/>
      <c r="S29" s="213"/>
      <c r="T29" s="212">
        <f t="shared" si="1"/>
        <v>0</v>
      </c>
      <c r="U29" s="210"/>
      <c r="V29" s="213"/>
      <c r="W29" s="212">
        <f t="shared" si="3"/>
        <v>0</v>
      </c>
      <c r="X29" s="210"/>
      <c r="Y29" s="213"/>
      <c r="Z29" s="212"/>
      <c r="AA29" s="210"/>
      <c r="AB29" s="221">
        <f t="shared" si="4"/>
        <v>1626.5900000000001</v>
      </c>
      <c r="AD29" s="207">
        <f>VLOOKUP(C29,[2]Headct!$C$23:$G$76,2,FALSE)</f>
        <v>42</v>
      </c>
      <c r="AE29" s="232" t="s">
        <v>293</v>
      </c>
    </row>
    <row r="30" spans="2:31">
      <c r="B30" s="232" t="s">
        <v>295</v>
      </c>
      <c r="C30" s="220" t="s">
        <v>296</v>
      </c>
      <c r="D30" s="208"/>
      <c r="E30" s="209"/>
      <c r="F30" s="210"/>
      <c r="G30" s="211"/>
      <c r="H30" s="250"/>
      <c r="I30" s="210"/>
      <c r="J30" s="213"/>
      <c r="K30" s="212">
        <f t="shared" si="2"/>
        <v>0</v>
      </c>
      <c r="L30" s="210"/>
      <c r="M30" s="213"/>
      <c r="N30" s="212"/>
      <c r="O30" s="210"/>
      <c r="P30" s="213"/>
      <c r="Q30" s="212">
        <f t="shared" si="0"/>
        <v>0</v>
      </c>
      <c r="R30" s="210"/>
      <c r="S30" s="213"/>
      <c r="T30" s="212">
        <f t="shared" si="1"/>
        <v>0</v>
      </c>
      <c r="U30" s="210"/>
      <c r="V30" s="213"/>
      <c r="W30" s="212">
        <f t="shared" si="3"/>
        <v>0</v>
      </c>
      <c r="X30" s="210"/>
      <c r="Y30" s="213"/>
      <c r="Z30" s="212"/>
      <c r="AA30" s="210"/>
      <c r="AB30" s="221">
        <f t="shared" si="4"/>
        <v>0</v>
      </c>
      <c r="AD30" s="207">
        <f>VLOOKUP(C30,[2]Headct!$C$23:$G$76,2,FALSE)</f>
        <v>3</v>
      </c>
      <c r="AE30" s="232" t="s">
        <v>295</v>
      </c>
    </row>
    <row r="31" spans="2:31">
      <c r="B31" s="232" t="s">
        <v>297</v>
      </c>
      <c r="C31" s="220" t="s">
        <v>298</v>
      </c>
      <c r="D31" s="208"/>
      <c r="E31" s="209"/>
      <c r="F31" s="210"/>
      <c r="G31" s="211"/>
      <c r="H31" s="250"/>
      <c r="I31" s="210"/>
      <c r="J31" s="211">
        <v>0.01</v>
      </c>
      <c r="K31" s="212">
        <f t="shared" si="2"/>
        <v>1626.5900000000001</v>
      </c>
      <c r="L31" s="210"/>
      <c r="M31" s="211">
        <f>+M4*0.5</f>
        <v>0.2</v>
      </c>
      <c r="N31" s="212">
        <f>+M31*$N$82</f>
        <v>20615.400000000001</v>
      </c>
      <c r="O31" s="210"/>
      <c r="P31" s="213"/>
      <c r="Q31" s="212">
        <f t="shared" si="0"/>
        <v>0</v>
      </c>
      <c r="R31" s="210"/>
      <c r="S31" s="211">
        <v>0.05</v>
      </c>
      <c r="T31" s="212">
        <f t="shared" si="1"/>
        <v>2814</v>
      </c>
      <c r="U31" s="210"/>
      <c r="V31" s="211">
        <f>+V4*0.5</f>
        <v>0.01</v>
      </c>
      <c r="W31" s="212">
        <f t="shared" si="3"/>
        <v>1466.17</v>
      </c>
      <c r="X31" s="210"/>
      <c r="Y31" s="213"/>
      <c r="Z31" s="233"/>
      <c r="AA31" s="210"/>
      <c r="AB31" s="221">
        <f t="shared" si="4"/>
        <v>26522.16</v>
      </c>
      <c r="AD31" s="207">
        <f>VLOOKUP(C31,[2]Headct!$C$23:$G$76,2,FALSE)</f>
        <v>19</v>
      </c>
      <c r="AE31" s="232" t="s">
        <v>297</v>
      </c>
    </row>
    <row r="32" spans="2:31">
      <c r="B32" s="232" t="s">
        <v>299</v>
      </c>
      <c r="C32" s="220" t="s">
        <v>300</v>
      </c>
      <c r="D32" s="208"/>
      <c r="E32" s="209">
        <f>+D32*$E$82</f>
        <v>0</v>
      </c>
      <c r="F32" s="210"/>
      <c r="G32" s="211">
        <v>5.8000000000000003E-2</v>
      </c>
      <c r="H32" s="250"/>
      <c r="I32" s="210"/>
      <c r="J32" s="213">
        <v>2.5000000000000001E-2</v>
      </c>
      <c r="K32" s="212">
        <f>+J32*$K$82</f>
        <v>4066.4750000000004</v>
      </c>
      <c r="L32" s="210"/>
      <c r="M32" s="213"/>
      <c r="N32" s="212"/>
      <c r="O32" s="210"/>
      <c r="P32" s="213"/>
      <c r="Q32" s="212">
        <f t="shared" si="0"/>
        <v>0</v>
      </c>
      <c r="R32" s="210"/>
      <c r="S32" s="213"/>
      <c r="T32" s="212">
        <f t="shared" si="1"/>
        <v>0</v>
      </c>
      <c r="U32" s="210"/>
      <c r="V32" s="213">
        <v>0.01</v>
      </c>
      <c r="W32" s="212">
        <f t="shared" si="3"/>
        <v>1466.17</v>
      </c>
      <c r="X32" s="210"/>
      <c r="Y32" s="213"/>
      <c r="Z32" s="212"/>
      <c r="AA32" s="210"/>
      <c r="AB32" s="221">
        <f t="shared" si="4"/>
        <v>5532.6450000000004</v>
      </c>
      <c r="AD32" s="207">
        <f>VLOOKUP(C32,[2]Headct!$C$23:$G$76,2,FALSE)</f>
        <v>19</v>
      </c>
      <c r="AE32" s="232" t="s">
        <v>299</v>
      </c>
    </row>
    <row r="33" spans="1:31">
      <c r="B33" s="232" t="s">
        <v>301</v>
      </c>
      <c r="C33" s="220" t="s">
        <v>302</v>
      </c>
      <c r="D33" s="208"/>
      <c r="E33" s="209"/>
      <c r="F33" s="210"/>
      <c r="G33" s="211"/>
      <c r="H33" s="250"/>
      <c r="I33" s="210"/>
      <c r="J33" s="213">
        <v>0.01</v>
      </c>
      <c r="K33" s="212">
        <f>+J33*$K$82</f>
        <v>1626.5900000000001</v>
      </c>
      <c r="L33" s="210"/>
      <c r="M33" s="208"/>
      <c r="N33" s="212"/>
      <c r="O33" s="210"/>
      <c r="P33" s="213"/>
      <c r="Q33" s="212">
        <f t="shared" si="0"/>
        <v>0</v>
      </c>
      <c r="R33" s="210"/>
      <c r="S33" s="213"/>
      <c r="T33" s="212">
        <f t="shared" si="1"/>
        <v>0</v>
      </c>
      <c r="U33" s="210"/>
      <c r="V33" s="213"/>
      <c r="W33" s="212">
        <f t="shared" si="3"/>
        <v>0</v>
      </c>
      <c r="X33" s="210"/>
      <c r="Y33" s="213"/>
      <c r="Z33" s="212"/>
      <c r="AA33" s="210"/>
      <c r="AB33" s="221">
        <f t="shared" si="4"/>
        <v>1626.5900000000001</v>
      </c>
      <c r="AC33" s="234">
        <f>SUM(AD23:AD33)-AD31-AD32</f>
        <v>129</v>
      </c>
      <c r="AD33" s="207">
        <f>VLOOKUP(C33,[2]Headct!$C$23:$G$76,2,FALSE)</f>
        <v>16</v>
      </c>
      <c r="AE33" s="232" t="s">
        <v>301</v>
      </c>
    </row>
    <row r="34" spans="1:31">
      <c r="B34" s="232"/>
      <c r="C34" s="220" t="s">
        <v>303</v>
      </c>
      <c r="D34" s="208">
        <f>10%/2</f>
        <v>0.05</v>
      </c>
      <c r="E34" s="209">
        <f t="shared" ref="E34:E70" si="5">+D34*$E$82</f>
        <v>0</v>
      </c>
      <c r="F34" s="210"/>
      <c r="G34" s="211">
        <f>1%/2</f>
        <v>5.0000000000000001E-3</v>
      </c>
      <c r="H34" s="250"/>
      <c r="I34" s="210"/>
      <c r="J34" s="213">
        <v>0.05</v>
      </c>
      <c r="K34" s="212">
        <f t="shared" ref="K34:K70" si="6">+J34*$K$82</f>
        <v>8132.9500000000007</v>
      </c>
      <c r="L34" s="210"/>
      <c r="M34" s="208">
        <f>10%/2</f>
        <v>0.05</v>
      </c>
      <c r="N34" s="212">
        <f t="shared" ref="N34:N70" si="7">+M34*$N$82</f>
        <v>5153.8500000000004</v>
      </c>
      <c r="O34" s="210"/>
      <c r="P34" s="213">
        <f>0.04/2</f>
        <v>0.02</v>
      </c>
      <c r="Q34" s="212">
        <f t="shared" si="0"/>
        <v>2313</v>
      </c>
      <c r="R34" s="210"/>
      <c r="S34" s="208">
        <v>2.5000000000000001E-2</v>
      </c>
      <c r="T34" s="212">
        <f t="shared" si="1"/>
        <v>1407</v>
      </c>
      <c r="U34" s="210"/>
      <c r="V34" s="211">
        <v>0.01</v>
      </c>
      <c r="W34" s="212">
        <f t="shared" si="3"/>
        <v>1466.17</v>
      </c>
      <c r="X34" s="210"/>
      <c r="Y34" s="213">
        <f>7.6923%/2</f>
        <v>3.8461500000000003E-2</v>
      </c>
      <c r="Z34" s="212">
        <f>+Y34*$Z$82-Z2</f>
        <v>15749.7675</v>
      </c>
      <c r="AA34" s="210"/>
      <c r="AB34" s="221">
        <f t="shared" si="4"/>
        <v>34222.737500000003</v>
      </c>
      <c r="AC34" s="234"/>
      <c r="AE34" s="232"/>
    </row>
    <row r="35" spans="1:31">
      <c r="B35" s="232" t="s">
        <v>304</v>
      </c>
      <c r="C35" s="220" t="s">
        <v>305</v>
      </c>
      <c r="D35" s="208">
        <f>10%/2</f>
        <v>0.05</v>
      </c>
      <c r="E35" s="209">
        <f t="shared" si="5"/>
        <v>0</v>
      </c>
      <c r="F35" s="210"/>
      <c r="G35" s="211">
        <f>1%/2</f>
        <v>5.0000000000000001E-3</v>
      </c>
      <c r="H35" s="250"/>
      <c r="I35" s="210"/>
      <c r="J35" s="213">
        <v>0.05</v>
      </c>
      <c r="K35" s="212">
        <f t="shared" si="6"/>
        <v>8132.9500000000007</v>
      </c>
      <c r="L35" s="210"/>
      <c r="M35" s="208">
        <f>10%/2</f>
        <v>0.05</v>
      </c>
      <c r="N35" s="212">
        <f t="shared" si="7"/>
        <v>5153.8500000000004</v>
      </c>
      <c r="O35" s="210"/>
      <c r="P35" s="213">
        <f>0.04/2</f>
        <v>0.02</v>
      </c>
      <c r="Q35" s="212">
        <f t="shared" si="0"/>
        <v>2313</v>
      </c>
      <c r="R35" s="210"/>
      <c r="S35" s="208">
        <v>2.5000000000000001E-2</v>
      </c>
      <c r="T35" s="212">
        <f t="shared" si="1"/>
        <v>1407</v>
      </c>
      <c r="U35" s="210"/>
      <c r="V35" s="211">
        <v>0.01</v>
      </c>
      <c r="W35" s="212">
        <f t="shared" si="3"/>
        <v>1466.17</v>
      </c>
      <c r="X35" s="210"/>
      <c r="Y35" s="213">
        <f>7.6923%/2</f>
        <v>3.8461500000000003E-2</v>
      </c>
      <c r="Z35" s="212">
        <f>+Y35*$Z$82-Z2</f>
        <v>15749.7675</v>
      </c>
      <c r="AA35" s="210"/>
      <c r="AB35" s="221">
        <f t="shared" si="4"/>
        <v>34222.737500000003</v>
      </c>
      <c r="AD35" s="207">
        <f>VLOOKUP(C35,[2]Headct!$C$23:$G$76,2,FALSE)</f>
        <v>20.5</v>
      </c>
      <c r="AE35" s="232" t="s">
        <v>304</v>
      </c>
    </row>
    <row r="36" spans="1:31" hidden="1">
      <c r="B36" s="232" t="s">
        <v>306</v>
      </c>
      <c r="C36" s="220" t="s">
        <v>307</v>
      </c>
      <c r="D36" s="208"/>
      <c r="E36" s="209">
        <f t="shared" si="5"/>
        <v>0</v>
      </c>
      <c r="F36" s="210"/>
      <c r="G36" s="211"/>
      <c r="H36" s="250"/>
      <c r="I36" s="210"/>
      <c r="J36" s="213"/>
      <c r="K36" s="212">
        <f t="shared" si="6"/>
        <v>0</v>
      </c>
      <c r="L36" s="210"/>
      <c r="M36" s="208">
        <v>0</v>
      </c>
      <c r="N36" s="212">
        <f t="shared" si="7"/>
        <v>0</v>
      </c>
      <c r="O36" s="210"/>
      <c r="P36" s="213"/>
      <c r="Q36" s="212">
        <f t="shared" si="0"/>
        <v>0</v>
      </c>
      <c r="R36" s="210"/>
      <c r="S36" s="208"/>
      <c r="T36" s="212">
        <f t="shared" si="1"/>
        <v>0</v>
      </c>
      <c r="U36" s="210"/>
      <c r="V36" s="208"/>
      <c r="W36" s="212">
        <f t="shared" si="3"/>
        <v>0</v>
      </c>
      <c r="X36" s="210"/>
      <c r="Y36" s="213"/>
      <c r="Z36" s="212"/>
      <c r="AA36" s="210"/>
      <c r="AB36" s="221">
        <f t="shared" si="4"/>
        <v>0</v>
      </c>
      <c r="AD36" s="207">
        <f>VLOOKUP(C36,[2]Headct!$C$23:$G$76,2,FALSE)</f>
        <v>0</v>
      </c>
      <c r="AE36" s="232" t="s">
        <v>306</v>
      </c>
    </row>
    <row r="37" spans="1:31">
      <c r="B37" s="232" t="s">
        <v>308</v>
      </c>
      <c r="C37" s="220" t="s">
        <v>309</v>
      </c>
      <c r="D37" s="208"/>
      <c r="E37" s="209">
        <f t="shared" si="5"/>
        <v>0</v>
      </c>
      <c r="F37" s="210"/>
      <c r="G37" s="235">
        <v>1.9E-2</v>
      </c>
      <c r="H37" s="250"/>
      <c r="I37" s="210"/>
      <c r="J37" s="213">
        <v>2.5000000000000001E-2</v>
      </c>
      <c r="K37" s="212">
        <f t="shared" si="6"/>
        <v>4066.4750000000004</v>
      </c>
      <c r="L37" s="210"/>
      <c r="M37" s="236">
        <v>7.4999999999999997E-2</v>
      </c>
      <c r="N37" s="212">
        <f t="shared" si="7"/>
        <v>7730.7749999999996</v>
      </c>
      <c r="O37" s="210"/>
      <c r="P37" s="213">
        <v>6.6699999999999995E-2</v>
      </c>
      <c r="Q37" s="212">
        <f t="shared" si="0"/>
        <v>7713.8549999999996</v>
      </c>
      <c r="R37" s="210"/>
      <c r="S37" s="208">
        <v>0.1</v>
      </c>
      <c r="T37" s="212">
        <f t="shared" si="1"/>
        <v>5628</v>
      </c>
      <c r="U37" s="210"/>
      <c r="V37" s="208">
        <v>0.02</v>
      </c>
      <c r="W37" s="212">
        <f t="shared" si="3"/>
        <v>2932.34</v>
      </c>
      <c r="X37" s="210"/>
      <c r="Y37" s="213">
        <f>7.6923%</f>
        <v>7.6923000000000005E-2</v>
      </c>
      <c r="Z37" s="212">
        <f>+Y37*$Z$82+$AB$2</f>
        <v>1125.0350000000003</v>
      </c>
      <c r="AA37" s="210"/>
      <c r="AB37" s="221">
        <f t="shared" si="4"/>
        <v>29196.479999999996</v>
      </c>
      <c r="AD37" s="207">
        <f>VLOOKUP(C37,[2]Headct!$C$23:$G$76,2,FALSE)</f>
        <v>22</v>
      </c>
      <c r="AE37" s="232" t="s">
        <v>308</v>
      </c>
    </row>
    <row r="38" spans="1:31">
      <c r="B38" s="232" t="s">
        <v>310</v>
      </c>
      <c r="C38" s="220" t="s">
        <v>311</v>
      </c>
      <c r="D38" s="208"/>
      <c r="E38" s="209">
        <f t="shared" si="5"/>
        <v>0</v>
      </c>
      <c r="F38" s="210" t="s">
        <v>384</v>
      </c>
      <c r="G38" s="235"/>
      <c r="H38" s="250"/>
      <c r="I38" s="210"/>
      <c r="J38" s="213">
        <v>0.01</v>
      </c>
      <c r="K38" s="212">
        <f t="shared" si="6"/>
        <v>1626.5900000000001</v>
      </c>
      <c r="L38" s="210"/>
      <c r="M38" s="236"/>
      <c r="N38" s="212">
        <f t="shared" si="7"/>
        <v>0</v>
      </c>
      <c r="O38" s="210"/>
      <c r="P38" s="213"/>
      <c r="Q38" s="212">
        <f t="shared" si="0"/>
        <v>0</v>
      </c>
      <c r="R38" s="210"/>
      <c r="S38" s="208"/>
      <c r="T38" s="212">
        <f t="shared" si="1"/>
        <v>0</v>
      </c>
      <c r="U38" s="210"/>
      <c r="V38" s="208">
        <v>0.02</v>
      </c>
      <c r="W38" s="212">
        <f t="shared" si="3"/>
        <v>2932.34</v>
      </c>
      <c r="X38" s="210"/>
      <c r="Y38" s="213">
        <f t="shared" ref="Y38:Y44" si="8">7.6923%</f>
        <v>7.6923000000000005E-2</v>
      </c>
      <c r="Z38" s="212">
        <f>+Y38*$Z$82+$AB$2</f>
        <v>1125.0350000000003</v>
      </c>
      <c r="AA38" s="210"/>
      <c r="AB38" s="221">
        <f t="shared" si="4"/>
        <v>5683.9650000000001</v>
      </c>
      <c r="AD38" s="207">
        <f>VLOOKUP(C38,[2]Headct!$C$23:$G$76,2,FALSE)</f>
        <v>6</v>
      </c>
      <c r="AE38" s="232" t="s">
        <v>310</v>
      </c>
    </row>
    <row r="39" spans="1:31" hidden="1">
      <c r="A39" s="207" t="s">
        <v>312</v>
      </c>
      <c r="B39" s="232" t="s">
        <v>313</v>
      </c>
      <c r="C39" s="220" t="s">
        <v>313</v>
      </c>
      <c r="D39" s="208"/>
      <c r="E39" s="209">
        <f t="shared" si="5"/>
        <v>0</v>
      </c>
      <c r="F39" s="210"/>
      <c r="G39" s="235"/>
      <c r="H39" s="250"/>
      <c r="I39" s="210"/>
      <c r="J39" s="213"/>
      <c r="K39" s="212">
        <f t="shared" si="6"/>
        <v>0</v>
      </c>
      <c r="L39" s="210"/>
      <c r="M39" s="236"/>
      <c r="N39" s="212">
        <f t="shared" si="7"/>
        <v>0</v>
      </c>
      <c r="O39" s="210"/>
      <c r="P39" s="213"/>
      <c r="Q39" s="212">
        <f t="shared" si="0"/>
        <v>0</v>
      </c>
      <c r="R39" s="210"/>
      <c r="S39" s="208"/>
      <c r="T39" s="212">
        <f t="shared" si="1"/>
        <v>0</v>
      </c>
      <c r="U39" s="210"/>
      <c r="V39" s="208"/>
      <c r="W39" s="212">
        <f t="shared" si="3"/>
        <v>0</v>
      </c>
      <c r="X39" s="210"/>
      <c r="Y39" s="213">
        <f t="shared" si="8"/>
        <v>7.6923000000000005E-2</v>
      </c>
      <c r="Z39" s="212">
        <f>+Y39*$Z$82+$AB$2</f>
        <v>1125.0350000000003</v>
      </c>
      <c r="AA39" s="210"/>
      <c r="AB39" s="221">
        <f t="shared" si="4"/>
        <v>1125.0350000000003</v>
      </c>
      <c r="AD39" s="207">
        <f>VLOOKUP(C39,[2]Headct!$C$23:$G$76,2,FALSE)</f>
        <v>167</v>
      </c>
      <c r="AE39" s="232" t="s">
        <v>313</v>
      </c>
    </row>
    <row r="40" spans="1:31">
      <c r="B40" s="232" t="s">
        <v>314</v>
      </c>
      <c r="C40" s="220" t="s">
        <v>315</v>
      </c>
      <c r="D40" s="208"/>
      <c r="E40" s="209">
        <f t="shared" si="5"/>
        <v>0</v>
      </c>
      <c r="F40" s="210" t="s">
        <v>382</v>
      </c>
      <c r="G40" s="211"/>
      <c r="H40" s="250"/>
      <c r="I40" s="210"/>
      <c r="J40" s="213">
        <v>0.01</v>
      </c>
      <c r="K40" s="212">
        <f t="shared" si="6"/>
        <v>1626.5900000000001</v>
      </c>
      <c r="L40" s="210"/>
      <c r="M40" s="208">
        <v>0.05</v>
      </c>
      <c r="N40" s="212">
        <f t="shared" si="7"/>
        <v>5153.8500000000004</v>
      </c>
      <c r="O40" s="210"/>
      <c r="P40" s="213">
        <v>6.6699999999999995E-2</v>
      </c>
      <c r="Q40" s="212">
        <f t="shared" si="0"/>
        <v>7713.8549999999996</v>
      </c>
      <c r="R40" s="210"/>
      <c r="S40" s="208">
        <v>0.1</v>
      </c>
      <c r="T40" s="212">
        <f t="shared" si="1"/>
        <v>5628</v>
      </c>
      <c r="U40" s="210"/>
      <c r="V40" s="208">
        <v>0.01</v>
      </c>
      <c r="W40" s="212">
        <f t="shared" si="3"/>
        <v>1466.17</v>
      </c>
      <c r="X40" s="210"/>
      <c r="Y40" s="213">
        <f t="shared" si="8"/>
        <v>7.6923000000000005E-2</v>
      </c>
      <c r="Z40" s="212">
        <f>+Y40*$Z$82+$AB$2</f>
        <v>1125.0350000000003</v>
      </c>
      <c r="AA40" s="210"/>
      <c r="AB40" s="221">
        <f t="shared" si="4"/>
        <v>22713.5</v>
      </c>
      <c r="AD40" s="207">
        <f>VLOOKUP(C40,[2]Headct!$C$23:$G$76,2,FALSE)</f>
        <v>26</v>
      </c>
      <c r="AE40" s="232" t="s">
        <v>314</v>
      </c>
    </row>
    <row r="41" spans="1:31">
      <c r="A41" s="237"/>
      <c r="B41" s="232" t="s">
        <v>316</v>
      </c>
      <c r="C41" s="220" t="s">
        <v>317</v>
      </c>
      <c r="D41" s="208"/>
      <c r="E41" s="209">
        <f t="shared" si="5"/>
        <v>0</v>
      </c>
      <c r="F41" s="210"/>
      <c r="G41" s="211">
        <f>3.8%+0.0015</f>
        <v>3.95E-2</v>
      </c>
      <c r="H41" s="250"/>
      <c r="I41" s="210"/>
      <c r="J41" s="213">
        <v>0.05</v>
      </c>
      <c r="K41" s="212">
        <f t="shared" si="6"/>
        <v>8132.9500000000007</v>
      </c>
      <c r="L41" s="210"/>
      <c r="M41" s="208">
        <v>0</v>
      </c>
      <c r="N41" s="212">
        <f t="shared" si="7"/>
        <v>0</v>
      </c>
      <c r="O41" s="210"/>
      <c r="P41" s="213">
        <v>0.1333</v>
      </c>
      <c r="Q41" s="212">
        <f t="shared" si="0"/>
        <v>15416.145</v>
      </c>
      <c r="R41" s="210"/>
      <c r="S41" s="208">
        <f>5%+(S6*0.7)</f>
        <v>0.12</v>
      </c>
      <c r="T41" s="212">
        <f t="shared" si="1"/>
        <v>6753.5999999999995</v>
      </c>
      <c r="U41" s="210"/>
      <c r="V41" s="208">
        <v>0.01</v>
      </c>
      <c r="W41" s="212">
        <f t="shared" si="3"/>
        <v>1466.17</v>
      </c>
      <c r="X41" s="210"/>
      <c r="Y41" s="213">
        <f t="shared" si="8"/>
        <v>7.6923000000000005E-2</v>
      </c>
      <c r="Z41" s="212">
        <f>+Y41*$Z$82+$AB$2</f>
        <v>1125.0350000000003</v>
      </c>
      <c r="AA41" s="210"/>
      <c r="AB41" s="221">
        <f t="shared" si="4"/>
        <v>32893.9</v>
      </c>
      <c r="AD41" s="207">
        <f>VLOOKUP(C41,[2]Headct!$C$23:$G$76,2,FALSE)</f>
        <v>41</v>
      </c>
      <c r="AE41" s="232" t="s">
        <v>316</v>
      </c>
    </row>
    <row r="42" spans="1:31">
      <c r="A42" s="237"/>
      <c r="B42" s="232" t="s">
        <v>318</v>
      </c>
      <c r="C42" s="220" t="s">
        <v>319</v>
      </c>
      <c r="D42" s="208"/>
      <c r="E42" s="209">
        <f t="shared" si="5"/>
        <v>0</v>
      </c>
      <c r="F42" s="210"/>
      <c r="G42" s="211">
        <v>7.5499999999999998E-2</v>
      </c>
      <c r="H42" s="250"/>
      <c r="I42" s="210"/>
      <c r="J42" s="213">
        <v>7.4999999999999997E-2</v>
      </c>
      <c r="K42" s="212">
        <f t="shared" si="6"/>
        <v>12199.424999999999</v>
      </c>
      <c r="L42" s="210"/>
      <c r="M42" s="208"/>
      <c r="N42" s="212">
        <f t="shared" si="7"/>
        <v>0</v>
      </c>
      <c r="O42" s="210"/>
      <c r="P42" s="213"/>
      <c r="Q42" s="212">
        <f t="shared" si="0"/>
        <v>0</v>
      </c>
      <c r="R42" s="210"/>
      <c r="S42" s="208"/>
      <c r="T42" s="212">
        <f t="shared" si="1"/>
        <v>0</v>
      </c>
      <c r="U42" s="210"/>
      <c r="V42" s="208">
        <v>0.2</v>
      </c>
      <c r="W42" s="212">
        <f t="shared" si="3"/>
        <v>29323.4</v>
      </c>
      <c r="X42" s="210"/>
      <c r="Y42" s="213"/>
      <c r="Z42" s="212"/>
      <c r="AA42" s="210"/>
      <c r="AB42" s="221">
        <f t="shared" si="4"/>
        <v>41522.824999999997</v>
      </c>
      <c r="AD42" s="207">
        <f>VLOOKUP(C42,[2]Headct!$C$23:$G$76,2,FALSE)</f>
        <v>89</v>
      </c>
      <c r="AE42" s="232" t="s">
        <v>318</v>
      </c>
    </row>
    <row r="43" spans="1:31">
      <c r="A43" s="237"/>
      <c r="B43" s="232" t="s">
        <v>320</v>
      </c>
      <c r="C43" s="220" t="s">
        <v>321</v>
      </c>
      <c r="D43" s="208"/>
      <c r="E43" s="209">
        <f t="shared" si="5"/>
        <v>0</v>
      </c>
      <c r="F43" s="210"/>
      <c r="G43" s="211"/>
      <c r="H43" s="250"/>
      <c r="I43" s="210"/>
      <c r="J43" s="213"/>
      <c r="K43" s="212">
        <f t="shared" si="6"/>
        <v>0</v>
      </c>
      <c r="L43" s="210"/>
      <c r="M43" s="208">
        <v>0.125</v>
      </c>
      <c r="N43" s="212">
        <f t="shared" si="7"/>
        <v>12884.625</v>
      </c>
      <c r="O43" s="210"/>
      <c r="P43" s="213"/>
      <c r="Q43" s="212">
        <f t="shared" si="0"/>
        <v>0</v>
      </c>
      <c r="R43" s="210"/>
      <c r="S43" s="208"/>
      <c r="T43" s="212">
        <f t="shared" si="1"/>
        <v>0</v>
      </c>
      <c r="U43" s="210"/>
      <c r="V43" s="208"/>
      <c r="W43" s="212">
        <f t="shared" si="3"/>
        <v>0</v>
      </c>
      <c r="X43" s="210"/>
      <c r="Y43" s="213">
        <f t="shared" si="8"/>
        <v>7.6923000000000005E-2</v>
      </c>
      <c r="Z43" s="212">
        <f>+Y43*$Z$82+$AB$2</f>
        <v>1125.0350000000003</v>
      </c>
      <c r="AA43" s="210"/>
      <c r="AB43" s="221">
        <f t="shared" si="4"/>
        <v>14009.66</v>
      </c>
      <c r="AD43" s="207">
        <f>VLOOKUP(C43,[2]Headct!$C$23:$G$76,2,FALSE)</f>
        <v>10</v>
      </c>
      <c r="AE43" s="232" t="s">
        <v>320</v>
      </c>
    </row>
    <row r="44" spans="1:31">
      <c r="B44" s="232" t="s">
        <v>322</v>
      </c>
      <c r="C44" s="220" t="s">
        <v>323</v>
      </c>
      <c r="D44" s="208"/>
      <c r="E44" s="209">
        <f t="shared" si="5"/>
        <v>0</v>
      </c>
      <c r="F44" s="210" t="s">
        <v>383</v>
      </c>
      <c r="G44" s="211"/>
      <c r="H44" s="250"/>
      <c r="I44" s="210"/>
      <c r="J44" s="213">
        <v>0.01</v>
      </c>
      <c r="K44" s="212">
        <f t="shared" si="6"/>
        <v>1626.5900000000001</v>
      </c>
      <c r="L44" s="210"/>
      <c r="M44" s="208"/>
      <c r="N44" s="212">
        <f t="shared" si="7"/>
        <v>0</v>
      </c>
      <c r="O44" s="210"/>
      <c r="P44" s="213"/>
      <c r="Q44" s="212">
        <f t="shared" si="0"/>
        <v>0</v>
      </c>
      <c r="R44" s="210"/>
      <c r="S44" s="208"/>
      <c r="T44" s="212">
        <f t="shared" si="1"/>
        <v>0</v>
      </c>
      <c r="U44" s="210"/>
      <c r="V44" s="208">
        <v>0.05</v>
      </c>
      <c r="W44" s="212">
        <f t="shared" si="3"/>
        <v>7330.85</v>
      </c>
      <c r="X44" s="210"/>
      <c r="Y44" s="213">
        <f t="shared" si="8"/>
        <v>7.6923000000000005E-2</v>
      </c>
      <c r="Z44" s="212">
        <f>+Y44*$Z$82+$AB$2</f>
        <v>1125.0350000000003</v>
      </c>
      <c r="AA44" s="210"/>
      <c r="AB44" s="221">
        <f t="shared" si="4"/>
        <v>10082.475</v>
      </c>
      <c r="AD44" s="207">
        <f>VLOOKUP(C44,[2]Headct!$C$23:$G$76,2,FALSE)</f>
        <v>12</v>
      </c>
      <c r="AE44" s="232" t="s">
        <v>322</v>
      </c>
    </row>
    <row r="45" spans="1:31" hidden="1">
      <c r="B45" s="232" t="s">
        <v>324</v>
      </c>
      <c r="C45" s="220" t="s">
        <v>325</v>
      </c>
      <c r="D45" s="208"/>
      <c r="E45" s="209">
        <f t="shared" si="5"/>
        <v>0</v>
      </c>
      <c r="F45" s="210"/>
      <c r="G45" s="211"/>
      <c r="H45" s="250"/>
      <c r="I45" s="210"/>
      <c r="J45" s="213"/>
      <c r="K45" s="212">
        <f t="shared" si="6"/>
        <v>0</v>
      </c>
      <c r="L45" s="210"/>
      <c r="M45" s="208"/>
      <c r="N45" s="212">
        <f t="shared" si="7"/>
        <v>0</v>
      </c>
      <c r="O45" s="210"/>
      <c r="P45" s="213"/>
      <c r="Q45" s="212">
        <f t="shared" si="0"/>
        <v>0</v>
      </c>
      <c r="R45" s="210"/>
      <c r="S45" s="208"/>
      <c r="T45" s="212">
        <f t="shared" si="1"/>
        <v>0</v>
      </c>
      <c r="U45" s="210"/>
      <c r="V45" s="208"/>
      <c r="W45" s="212">
        <f t="shared" si="3"/>
        <v>0</v>
      </c>
      <c r="X45" s="210"/>
      <c r="Y45" s="213"/>
      <c r="Z45" s="212"/>
      <c r="AA45" s="210"/>
      <c r="AB45" s="221">
        <f t="shared" si="4"/>
        <v>0</v>
      </c>
      <c r="AD45" s="207">
        <f>VLOOKUP(C45,[2]Headct!$C$23:$G$76,2,FALSE)</f>
        <v>0</v>
      </c>
      <c r="AE45" s="232" t="s">
        <v>324</v>
      </c>
    </row>
    <row r="46" spans="1:31">
      <c r="B46" s="232" t="s">
        <v>326</v>
      </c>
      <c r="C46" s="220" t="s">
        <v>327</v>
      </c>
      <c r="D46" s="208"/>
      <c r="E46" s="209">
        <f t="shared" si="5"/>
        <v>0</v>
      </c>
      <c r="F46" s="210"/>
      <c r="G46" s="211"/>
      <c r="H46" s="250"/>
      <c r="I46" s="210"/>
      <c r="J46" s="213"/>
      <c r="K46" s="212">
        <f t="shared" si="6"/>
        <v>0</v>
      </c>
      <c r="L46" s="210"/>
      <c r="M46" s="208"/>
      <c r="N46" s="212">
        <f t="shared" si="7"/>
        <v>0</v>
      </c>
      <c r="O46" s="210"/>
      <c r="P46" s="213"/>
      <c r="Q46" s="212">
        <f t="shared" si="0"/>
        <v>0</v>
      </c>
      <c r="R46" s="210"/>
      <c r="S46" s="208"/>
      <c r="T46" s="212">
        <f t="shared" si="1"/>
        <v>0</v>
      </c>
      <c r="U46" s="210"/>
      <c r="V46" s="208"/>
      <c r="W46" s="212">
        <f t="shared" si="3"/>
        <v>0</v>
      </c>
      <c r="X46" s="210"/>
      <c r="Y46" s="213"/>
      <c r="Z46" s="212"/>
      <c r="AA46" s="210"/>
      <c r="AB46" s="221">
        <f t="shared" si="4"/>
        <v>0</v>
      </c>
      <c r="AD46" s="207">
        <f>VLOOKUP(C46,[2]Headct!$C$23:$G$76,2,FALSE)</f>
        <v>0</v>
      </c>
      <c r="AE46" s="232" t="s">
        <v>326</v>
      </c>
    </row>
    <row r="47" spans="1:31">
      <c r="B47" s="232" t="s">
        <v>328</v>
      </c>
      <c r="C47" s="220" t="s">
        <v>329</v>
      </c>
      <c r="D47" s="208">
        <v>0.02</v>
      </c>
      <c r="E47" s="209">
        <f t="shared" si="5"/>
        <v>0</v>
      </c>
      <c r="F47" s="210"/>
      <c r="G47" s="211"/>
      <c r="H47" s="250"/>
      <c r="I47" s="210"/>
      <c r="J47" s="213"/>
      <c r="K47" s="212">
        <f t="shared" si="6"/>
        <v>0</v>
      </c>
      <c r="L47" s="210"/>
      <c r="M47" s="208">
        <v>0.05</v>
      </c>
      <c r="N47" s="212">
        <f t="shared" si="7"/>
        <v>5153.8500000000004</v>
      </c>
      <c r="O47" s="210"/>
      <c r="P47" s="213"/>
      <c r="Q47" s="212">
        <f t="shared" si="0"/>
        <v>0</v>
      </c>
      <c r="R47" s="210"/>
      <c r="S47" s="208"/>
      <c r="T47" s="212">
        <f t="shared" si="1"/>
        <v>0</v>
      </c>
      <c r="U47" s="210"/>
      <c r="V47" s="208"/>
      <c r="W47" s="212">
        <f t="shared" si="3"/>
        <v>0</v>
      </c>
      <c r="X47" s="210"/>
      <c r="Y47" s="213">
        <f>7.6923%</f>
        <v>7.6923000000000005E-2</v>
      </c>
      <c r="Z47" s="212">
        <f>+Y47*$Z$82+$AB$2</f>
        <v>1125.0350000000003</v>
      </c>
      <c r="AA47" s="210"/>
      <c r="AB47" s="221">
        <f t="shared" si="4"/>
        <v>6278.8850000000002</v>
      </c>
      <c r="AD47" s="207">
        <f>VLOOKUP(C47,[2]Headct!$C$23:$G$76,2,FALSE)</f>
        <v>13</v>
      </c>
      <c r="AE47" s="232" t="s">
        <v>328</v>
      </c>
    </row>
    <row r="48" spans="1:31" hidden="1">
      <c r="B48" s="232" t="s">
        <v>330</v>
      </c>
      <c r="C48" s="238" t="s">
        <v>331</v>
      </c>
      <c r="D48" s="208"/>
      <c r="E48" s="209">
        <f t="shared" si="5"/>
        <v>0</v>
      </c>
      <c r="F48" s="210"/>
      <c r="G48" s="211"/>
      <c r="H48" s="250"/>
      <c r="I48" s="210"/>
      <c r="J48" s="213"/>
      <c r="K48" s="212">
        <f t="shared" si="6"/>
        <v>0</v>
      </c>
      <c r="L48" s="210"/>
      <c r="M48" s="208"/>
      <c r="N48" s="212">
        <f t="shared" si="7"/>
        <v>0</v>
      </c>
      <c r="O48" s="210"/>
      <c r="P48" s="213"/>
      <c r="Q48" s="212">
        <f t="shared" si="0"/>
        <v>0</v>
      </c>
      <c r="R48" s="210"/>
      <c r="S48" s="208"/>
      <c r="T48" s="212">
        <f t="shared" si="1"/>
        <v>0</v>
      </c>
      <c r="U48" s="210"/>
      <c r="V48" s="208"/>
      <c r="W48" s="212">
        <f t="shared" si="3"/>
        <v>0</v>
      </c>
      <c r="X48" s="210"/>
      <c r="Y48" s="213"/>
      <c r="Z48" s="212"/>
      <c r="AA48" s="210"/>
      <c r="AB48" s="221">
        <f t="shared" si="4"/>
        <v>0</v>
      </c>
      <c r="AD48" s="207">
        <f>VLOOKUP(C48,[2]Headct!$C$23:$G$76,2,FALSE)</f>
        <v>0</v>
      </c>
      <c r="AE48" s="232" t="s">
        <v>330</v>
      </c>
    </row>
    <row r="49" spans="2:31" hidden="1">
      <c r="B49" s="232" t="s">
        <v>332</v>
      </c>
      <c r="C49" s="220" t="s">
        <v>333</v>
      </c>
      <c r="D49" s="208"/>
      <c r="E49" s="209">
        <f t="shared" si="5"/>
        <v>0</v>
      </c>
      <c r="F49" s="210"/>
      <c r="G49" s="211"/>
      <c r="H49" s="250"/>
      <c r="I49" s="210"/>
      <c r="J49" s="213"/>
      <c r="K49" s="212">
        <f t="shared" si="6"/>
        <v>0</v>
      </c>
      <c r="L49" s="210"/>
      <c r="M49" s="208"/>
      <c r="N49" s="212">
        <f t="shared" si="7"/>
        <v>0</v>
      </c>
      <c r="O49" s="210"/>
      <c r="P49" s="213"/>
      <c r="Q49" s="212">
        <f t="shared" si="0"/>
        <v>0</v>
      </c>
      <c r="R49" s="210"/>
      <c r="S49" s="208"/>
      <c r="T49" s="212">
        <f t="shared" si="1"/>
        <v>0</v>
      </c>
      <c r="U49" s="210"/>
      <c r="V49" s="208"/>
      <c r="W49" s="212">
        <f t="shared" si="3"/>
        <v>0</v>
      </c>
      <c r="X49" s="210"/>
      <c r="Y49" s="213"/>
      <c r="Z49" s="212"/>
      <c r="AA49" s="210"/>
      <c r="AB49" s="221">
        <f t="shared" si="4"/>
        <v>0</v>
      </c>
      <c r="AD49" s="207">
        <f>VLOOKUP(C49,[2]Headct!$C$23:$G$76,2,FALSE)</f>
        <v>954</v>
      </c>
      <c r="AE49" s="232" t="s">
        <v>332</v>
      </c>
    </row>
    <row r="50" spans="2:31" hidden="1">
      <c r="B50" s="232" t="s">
        <v>334</v>
      </c>
      <c r="C50" s="220" t="s">
        <v>335</v>
      </c>
      <c r="D50" s="208"/>
      <c r="E50" s="209"/>
      <c r="F50" s="210" t="s">
        <v>379</v>
      </c>
      <c r="G50" s="211"/>
      <c r="H50" s="250"/>
      <c r="I50" s="210"/>
      <c r="J50" s="213"/>
      <c r="K50" s="212">
        <f t="shared" si="6"/>
        <v>0</v>
      </c>
      <c r="L50" s="210"/>
      <c r="M50" s="208"/>
      <c r="N50" s="212"/>
      <c r="O50" s="210"/>
      <c r="P50" s="213"/>
      <c r="Q50" s="212"/>
      <c r="R50" s="210"/>
      <c r="S50" s="208"/>
      <c r="T50" s="212">
        <f t="shared" si="1"/>
        <v>0</v>
      </c>
      <c r="U50" s="210"/>
      <c r="V50" s="208"/>
      <c r="W50" s="212">
        <f t="shared" si="3"/>
        <v>0</v>
      </c>
      <c r="X50" s="210"/>
      <c r="Y50" s="213"/>
      <c r="Z50" s="212"/>
      <c r="AA50" s="210"/>
      <c r="AB50" s="221">
        <f t="shared" si="4"/>
        <v>0</v>
      </c>
      <c r="AD50" s="207">
        <f>VLOOKUP(C50,[2]Headct!$C$23:$G$76,2,FALSE)</f>
        <v>0</v>
      </c>
      <c r="AE50" s="232" t="s">
        <v>334</v>
      </c>
    </row>
    <row r="51" spans="2:31">
      <c r="B51" s="232" t="s">
        <v>336</v>
      </c>
      <c r="C51" s="220" t="s">
        <v>337</v>
      </c>
      <c r="D51" s="208"/>
      <c r="E51" s="209"/>
      <c r="F51" s="210" t="s">
        <v>381</v>
      </c>
      <c r="G51" s="211"/>
      <c r="H51" s="250">
        <v>0.17499999999999999</v>
      </c>
      <c r="I51" s="210"/>
      <c r="J51" s="213">
        <v>0.01</v>
      </c>
      <c r="K51" s="212">
        <f t="shared" si="6"/>
        <v>1626.5900000000001</v>
      </c>
      <c r="L51" s="210"/>
      <c r="M51" s="208"/>
      <c r="N51" s="212"/>
      <c r="O51" s="210"/>
      <c r="P51" s="213">
        <v>1.3299999999999999E-2</v>
      </c>
      <c r="Q51" s="212">
        <f t="shared" si="0"/>
        <v>1538.145</v>
      </c>
      <c r="R51" s="210"/>
      <c r="S51" s="208">
        <v>0.1</v>
      </c>
      <c r="T51" s="212">
        <f t="shared" si="1"/>
        <v>5628</v>
      </c>
      <c r="U51" s="210"/>
      <c r="V51" s="208">
        <v>0.01</v>
      </c>
      <c r="W51" s="212">
        <f t="shared" si="3"/>
        <v>1466.17</v>
      </c>
      <c r="X51" s="210"/>
      <c r="Y51" s="213"/>
      <c r="Z51" s="212"/>
      <c r="AA51" s="210"/>
      <c r="AB51" s="221">
        <f t="shared" si="4"/>
        <v>10259.08</v>
      </c>
      <c r="AD51" s="207">
        <f>VLOOKUP(C51,[2]Headct!$C$23:$G$76,2,FALSE)</f>
        <v>19</v>
      </c>
      <c r="AE51" s="232" t="s">
        <v>338</v>
      </c>
    </row>
    <row r="52" spans="2:31">
      <c r="B52" s="232" t="s">
        <v>339</v>
      </c>
      <c r="C52" s="220" t="s">
        <v>340</v>
      </c>
      <c r="D52" s="208"/>
      <c r="E52" s="209">
        <f t="shared" si="5"/>
        <v>0</v>
      </c>
      <c r="F52" s="210" t="s">
        <v>383</v>
      </c>
      <c r="G52" s="211"/>
      <c r="H52" s="250"/>
      <c r="I52" s="210"/>
      <c r="J52" s="213">
        <v>2.5000000000000001E-2</v>
      </c>
      <c r="K52" s="212">
        <f t="shared" si="6"/>
        <v>4066.4750000000004</v>
      </c>
      <c r="L52" s="210"/>
      <c r="M52" s="208"/>
      <c r="N52" s="212">
        <f t="shared" si="7"/>
        <v>0</v>
      </c>
      <c r="O52" s="210"/>
      <c r="P52" s="213"/>
      <c r="Q52" s="212">
        <f t="shared" si="0"/>
        <v>0</v>
      </c>
      <c r="R52" s="210"/>
      <c r="S52" s="208"/>
      <c r="T52" s="212">
        <f t="shared" si="1"/>
        <v>0</v>
      </c>
      <c r="U52" s="210"/>
      <c r="V52" s="208">
        <v>0.02</v>
      </c>
      <c r="W52" s="212">
        <f t="shared" si="3"/>
        <v>2932.34</v>
      </c>
      <c r="X52" s="210"/>
      <c r="Y52" s="213"/>
      <c r="Z52" s="212"/>
      <c r="AA52" s="210"/>
      <c r="AB52" s="221">
        <f t="shared" si="4"/>
        <v>6998.8150000000005</v>
      </c>
      <c r="AD52" s="207">
        <f>VLOOKUP(C52,[2]Headct!$C$23:$G$76,2,FALSE)</f>
        <v>12</v>
      </c>
      <c r="AE52" s="232" t="s">
        <v>339</v>
      </c>
    </row>
    <row r="53" spans="2:31">
      <c r="B53" s="232" t="s">
        <v>341</v>
      </c>
      <c r="C53" s="220" t="s">
        <v>342</v>
      </c>
      <c r="D53" s="208"/>
      <c r="E53" s="209">
        <f t="shared" si="5"/>
        <v>0</v>
      </c>
      <c r="F53" s="210"/>
      <c r="G53" s="211">
        <v>4.8000000000000001E-2</v>
      </c>
      <c r="H53" s="250"/>
      <c r="I53" s="210"/>
      <c r="J53" s="213">
        <v>0.1</v>
      </c>
      <c r="K53" s="212">
        <f t="shared" si="6"/>
        <v>16265.900000000001</v>
      </c>
      <c r="L53" s="210"/>
      <c r="M53" s="208"/>
      <c r="N53" s="212">
        <f t="shared" si="7"/>
        <v>0</v>
      </c>
      <c r="O53" s="210"/>
      <c r="P53" s="213"/>
      <c r="Q53" s="212">
        <f t="shared" si="0"/>
        <v>0</v>
      </c>
      <c r="R53" s="210"/>
      <c r="S53" s="208"/>
      <c r="T53" s="212">
        <f t="shared" si="1"/>
        <v>0</v>
      </c>
      <c r="U53" s="210"/>
      <c r="V53" s="208">
        <v>0.2</v>
      </c>
      <c r="W53" s="212">
        <f t="shared" si="3"/>
        <v>29323.4</v>
      </c>
      <c r="X53" s="210"/>
      <c r="Y53" s="213"/>
      <c r="Z53" s="212"/>
      <c r="AA53" s="210"/>
      <c r="AB53" s="221">
        <f t="shared" si="4"/>
        <v>45589.3</v>
      </c>
      <c r="AD53" s="207">
        <f>VLOOKUP(C53,[2]Headct!$C$23:$G$76,2,FALSE)</f>
        <v>16</v>
      </c>
      <c r="AE53" s="232" t="s">
        <v>341</v>
      </c>
    </row>
    <row r="54" spans="2:31">
      <c r="B54" s="232" t="s">
        <v>343</v>
      </c>
      <c r="C54" s="220" t="s">
        <v>344</v>
      </c>
      <c r="D54" s="208"/>
      <c r="E54" s="209">
        <f t="shared" si="5"/>
        <v>0</v>
      </c>
      <c r="F54" s="210"/>
      <c r="G54" s="211"/>
      <c r="H54" s="250"/>
      <c r="I54" s="210"/>
      <c r="J54" s="213">
        <v>0.01</v>
      </c>
      <c r="K54" s="212">
        <f t="shared" si="6"/>
        <v>1626.5900000000001</v>
      </c>
      <c r="L54" s="210"/>
      <c r="M54" s="208"/>
      <c r="N54" s="212">
        <f t="shared" si="7"/>
        <v>0</v>
      </c>
      <c r="O54" s="210"/>
      <c r="P54" s="213">
        <v>2.6700000000000002E-2</v>
      </c>
      <c r="Q54" s="212">
        <f t="shared" si="0"/>
        <v>3087.855</v>
      </c>
      <c r="R54" s="210"/>
      <c r="S54" s="208"/>
      <c r="T54" s="212">
        <f t="shared" si="1"/>
        <v>0</v>
      </c>
      <c r="U54" s="210"/>
      <c r="V54" s="208">
        <v>0.02</v>
      </c>
      <c r="W54" s="212">
        <f t="shared" si="3"/>
        <v>2932.34</v>
      </c>
      <c r="X54" s="210"/>
      <c r="Y54" s="213"/>
      <c r="Z54" s="212"/>
      <c r="AA54" s="210"/>
      <c r="AB54" s="221">
        <f t="shared" si="4"/>
        <v>7646.7849999999999</v>
      </c>
      <c r="AD54" s="207">
        <f>VLOOKUP(C54,[2]Headct!$C$23:$G$76,2,FALSE)</f>
        <v>5</v>
      </c>
      <c r="AE54" s="232" t="s">
        <v>343</v>
      </c>
    </row>
    <row r="55" spans="2:31">
      <c r="B55" s="232" t="s">
        <v>345</v>
      </c>
      <c r="C55" s="220" t="s">
        <v>264</v>
      </c>
      <c r="D55" s="208"/>
      <c r="E55" s="209">
        <f t="shared" si="5"/>
        <v>0</v>
      </c>
      <c r="F55" s="210"/>
      <c r="G55" s="211"/>
      <c r="H55" s="250"/>
      <c r="I55" s="210"/>
      <c r="J55" s="213"/>
      <c r="K55" s="212">
        <f t="shared" si="6"/>
        <v>0</v>
      </c>
      <c r="L55" s="210"/>
      <c r="M55" s="208"/>
      <c r="N55" s="212">
        <f t="shared" si="7"/>
        <v>0</v>
      </c>
      <c r="O55" s="210"/>
      <c r="P55" s="213"/>
      <c r="Q55" s="212">
        <f t="shared" si="0"/>
        <v>0</v>
      </c>
      <c r="R55" s="210"/>
      <c r="S55" s="208"/>
      <c r="T55" s="212">
        <f t="shared" si="1"/>
        <v>0</v>
      </c>
      <c r="U55" s="210"/>
      <c r="V55" s="208"/>
      <c r="W55" s="212">
        <f t="shared" si="3"/>
        <v>0</v>
      </c>
      <c r="X55" s="210"/>
      <c r="Y55" s="213"/>
      <c r="Z55" s="212"/>
      <c r="AA55" s="210"/>
      <c r="AB55" s="221">
        <f t="shared" si="4"/>
        <v>0</v>
      </c>
      <c r="AD55" s="207">
        <f>VLOOKUP(C55,[2]Headct!$C$23:$G$76,2,FALSE)</f>
        <v>0</v>
      </c>
      <c r="AE55" s="232" t="s">
        <v>345</v>
      </c>
    </row>
    <row r="56" spans="2:31">
      <c r="B56" s="232" t="s">
        <v>346</v>
      </c>
      <c r="C56" s="220" t="s">
        <v>347</v>
      </c>
      <c r="D56" s="208"/>
      <c r="E56" s="209">
        <f t="shared" si="5"/>
        <v>0</v>
      </c>
      <c r="F56" s="210"/>
      <c r="G56" s="211"/>
      <c r="H56" s="250"/>
      <c r="I56" s="210"/>
      <c r="J56" s="213">
        <v>0.01</v>
      </c>
      <c r="K56" s="212">
        <f t="shared" si="6"/>
        <v>1626.5900000000001</v>
      </c>
      <c r="L56" s="210"/>
      <c r="M56" s="208"/>
      <c r="N56" s="212">
        <f t="shared" si="7"/>
        <v>0</v>
      </c>
      <c r="O56" s="210"/>
      <c r="P56" s="213"/>
      <c r="Q56" s="212">
        <f t="shared" si="0"/>
        <v>0</v>
      </c>
      <c r="R56" s="210"/>
      <c r="S56" s="208">
        <f>+S6*0.3</f>
        <v>0.03</v>
      </c>
      <c r="T56" s="212">
        <f t="shared" si="1"/>
        <v>1688.3999999999999</v>
      </c>
      <c r="U56" s="210"/>
      <c r="V56" s="208"/>
      <c r="W56" s="212">
        <f t="shared" si="3"/>
        <v>0</v>
      </c>
      <c r="X56" s="210"/>
      <c r="Y56" s="213"/>
      <c r="Z56" s="212"/>
      <c r="AA56" s="210"/>
      <c r="AB56" s="221">
        <f t="shared" si="4"/>
        <v>3314.99</v>
      </c>
      <c r="AD56" s="207">
        <f>VLOOKUP(C56,[2]Headct!$C$23:$G$76,2,FALSE)</f>
        <v>13</v>
      </c>
      <c r="AE56" s="232" t="s">
        <v>346</v>
      </c>
    </row>
    <row r="57" spans="2:31">
      <c r="B57" s="232" t="s">
        <v>348</v>
      </c>
      <c r="C57" s="220" t="s">
        <v>349</v>
      </c>
      <c r="D57" s="208"/>
      <c r="E57" s="209">
        <f t="shared" si="5"/>
        <v>0</v>
      </c>
      <c r="F57" s="210"/>
      <c r="G57" s="211">
        <v>0.35599999999999998</v>
      </c>
      <c r="H57" s="250"/>
      <c r="I57" s="210"/>
      <c r="J57" s="213"/>
      <c r="K57" s="212">
        <f t="shared" si="6"/>
        <v>0</v>
      </c>
      <c r="L57" s="210"/>
      <c r="M57" s="208"/>
      <c r="N57" s="212">
        <f t="shared" si="7"/>
        <v>0</v>
      </c>
      <c r="O57" s="210"/>
      <c r="P57" s="213"/>
      <c r="Q57" s="212">
        <f t="shared" si="0"/>
        <v>0</v>
      </c>
      <c r="R57" s="210"/>
      <c r="S57" s="208"/>
      <c r="T57" s="212">
        <f t="shared" si="1"/>
        <v>0</v>
      </c>
      <c r="U57" s="210"/>
      <c r="V57" s="208"/>
      <c r="W57" s="212">
        <f t="shared" si="3"/>
        <v>0</v>
      </c>
      <c r="X57" s="210"/>
      <c r="Y57" s="213"/>
      <c r="Z57" s="212"/>
      <c r="AA57" s="210"/>
      <c r="AB57" s="221">
        <f t="shared" si="4"/>
        <v>0</v>
      </c>
      <c r="AD57" s="207">
        <f>VLOOKUP(C57,[2]Headct!$C$23:$G$76,2,FALSE)</f>
        <v>35</v>
      </c>
      <c r="AE57" s="232" t="s">
        <v>348</v>
      </c>
    </row>
    <row r="58" spans="2:31">
      <c r="B58" s="232" t="s">
        <v>350</v>
      </c>
      <c r="C58" s="220" t="s">
        <v>351</v>
      </c>
      <c r="D58" s="208"/>
      <c r="E58" s="209">
        <f t="shared" si="5"/>
        <v>0</v>
      </c>
      <c r="F58" s="210" t="s">
        <v>380</v>
      </c>
      <c r="G58" s="211">
        <v>0.01</v>
      </c>
      <c r="H58" s="250"/>
      <c r="I58" s="210"/>
      <c r="J58" s="213">
        <v>0.05</v>
      </c>
      <c r="K58" s="212">
        <f t="shared" si="6"/>
        <v>8132.9500000000007</v>
      </c>
      <c r="L58" s="210"/>
      <c r="M58" s="208">
        <v>0.2</v>
      </c>
      <c r="N58" s="212">
        <f t="shared" si="7"/>
        <v>20615.400000000001</v>
      </c>
      <c r="O58" s="210"/>
      <c r="P58" s="213">
        <v>0.04</v>
      </c>
      <c r="Q58" s="212">
        <f t="shared" si="0"/>
        <v>4626</v>
      </c>
      <c r="R58" s="210"/>
      <c r="S58" s="208">
        <v>0.15</v>
      </c>
      <c r="T58" s="212">
        <f t="shared" si="1"/>
        <v>8442</v>
      </c>
      <c r="U58" s="210"/>
      <c r="V58" s="208">
        <v>0.01</v>
      </c>
      <c r="W58" s="212">
        <f t="shared" si="3"/>
        <v>1466.17</v>
      </c>
      <c r="X58" s="210"/>
      <c r="Y58" s="213">
        <f>7.6923%</f>
        <v>7.6923000000000005E-2</v>
      </c>
      <c r="Z58" s="212">
        <f>+Y58*$Z$82+$AB$2</f>
        <v>1125.0350000000003</v>
      </c>
      <c r="AA58" s="210"/>
      <c r="AB58" s="221">
        <f t="shared" si="4"/>
        <v>44407.555000000008</v>
      </c>
      <c r="AD58" s="207">
        <f>VLOOKUP(C58,[2]Headct!$C$23:$G$76,2,FALSE)</f>
        <v>32</v>
      </c>
      <c r="AE58" s="232" t="s">
        <v>350</v>
      </c>
    </row>
    <row r="59" spans="2:31">
      <c r="B59" s="232" t="s">
        <v>352</v>
      </c>
      <c r="C59" s="220" t="s">
        <v>353</v>
      </c>
      <c r="D59" s="208"/>
      <c r="E59" s="209">
        <f t="shared" si="5"/>
        <v>0</v>
      </c>
      <c r="F59" s="210"/>
      <c r="G59" s="211"/>
      <c r="H59" s="250"/>
      <c r="I59" s="210"/>
      <c r="J59" s="213">
        <v>0.01</v>
      </c>
      <c r="K59" s="212">
        <f t="shared" si="6"/>
        <v>1626.5900000000001</v>
      </c>
      <c r="L59" s="210"/>
      <c r="M59" s="208"/>
      <c r="N59" s="212">
        <f t="shared" si="7"/>
        <v>0</v>
      </c>
      <c r="O59" s="210"/>
      <c r="P59" s="213">
        <v>0.12</v>
      </c>
      <c r="Q59" s="212">
        <f t="shared" si="0"/>
        <v>13878</v>
      </c>
      <c r="R59" s="210"/>
      <c r="S59" s="208">
        <v>0.05</v>
      </c>
      <c r="T59" s="212">
        <f t="shared" si="1"/>
        <v>2814</v>
      </c>
      <c r="U59" s="210"/>
      <c r="V59" s="208"/>
      <c r="W59" s="212">
        <f t="shared" si="3"/>
        <v>0</v>
      </c>
      <c r="X59" s="210"/>
      <c r="Y59" s="213">
        <f>7.6923%</f>
        <v>7.6923000000000005E-2</v>
      </c>
      <c r="Z59" s="212">
        <f>+Y59*$Z$82+$AB$2</f>
        <v>1125.0350000000003</v>
      </c>
      <c r="AA59" s="210"/>
      <c r="AB59" s="221">
        <f t="shared" si="4"/>
        <v>19443.625</v>
      </c>
      <c r="AD59" s="207">
        <f>VLOOKUP(C59,[2]Headct!$C$23:$G$76,2,FALSE)</f>
        <v>0</v>
      </c>
      <c r="AE59" s="232" t="s">
        <v>352</v>
      </c>
    </row>
    <row r="60" spans="2:31">
      <c r="B60" s="232" t="s">
        <v>354</v>
      </c>
      <c r="C60" s="220" t="s">
        <v>355</v>
      </c>
      <c r="D60" s="208"/>
      <c r="E60" s="209">
        <f t="shared" si="5"/>
        <v>0</v>
      </c>
      <c r="F60" s="210"/>
      <c r="G60" s="211"/>
      <c r="H60" s="250"/>
      <c r="I60" s="210"/>
      <c r="J60" s="213">
        <v>0.18</v>
      </c>
      <c r="K60" s="212">
        <f t="shared" si="6"/>
        <v>29278.62</v>
      </c>
      <c r="L60" s="210"/>
      <c r="M60" s="208"/>
      <c r="N60" s="212">
        <f t="shared" si="7"/>
        <v>0</v>
      </c>
      <c r="O60" s="210"/>
      <c r="P60" s="213"/>
      <c r="Q60" s="212">
        <f t="shared" si="0"/>
        <v>0</v>
      </c>
      <c r="R60" s="210"/>
      <c r="S60" s="208"/>
      <c r="T60" s="212">
        <f t="shared" si="1"/>
        <v>0</v>
      </c>
      <c r="U60" s="210"/>
      <c r="V60" s="208"/>
      <c r="W60" s="212">
        <f t="shared" si="3"/>
        <v>0</v>
      </c>
      <c r="X60" s="210"/>
      <c r="Y60" s="213"/>
      <c r="Z60" s="212"/>
      <c r="AA60" s="210"/>
      <c r="AB60" s="221">
        <f t="shared" si="4"/>
        <v>29278.62</v>
      </c>
      <c r="AD60" s="207">
        <f>VLOOKUP(C60,[2]Headct!$C$23:$G$76,2,FALSE)</f>
        <v>19</v>
      </c>
      <c r="AE60" s="232" t="s">
        <v>354</v>
      </c>
    </row>
    <row r="61" spans="2:31">
      <c r="B61" s="232" t="s">
        <v>356</v>
      </c>
      <c r="C61" s="220" t="s">
        <v>357</v>
      </c>
      <c r="D61" s="208"/>
      <c r="E61" s="209">
        <f t="shared" si="5"/>
        <v>0</v>
      </c>
      <c r="F61" s="210"/>
      <c r="G61" s="211"/>
      <c r="H61" s="250"/>
      <c r="I61" s="210"/>
      <c r="J61" s="213">
        <v>0.02</v>
      </c>
      <c r="K61" s="212">
        <f t="shared" si="6"/>
        <v>3253.1800000000003</v>
      </c>
      <c r="L61" s="210"/>
      <c r="M61" s="208">
        <v>0</v>
      </c>
      <c r="N61" s="212">
        <f t="shared" si="7"/>
        <v>0</v>
      </c>
      <c r="O61" s="210"/>
      <c r="P61" s="213"/>
      <c r="Q61" s="212">
        <f t="shared" si="0"/>
        <v>0</v>
      </c>
      <c r="R61" s="210"/>
      <c r="S61" s="208"/>
      <c r="T61" s="212">
        <f t="shared" si="1"/>
        <v>0</v>
      </c>
      <c r="U61" s="210"/>
      <c r="V61" s="208"/>
      <c r="W61" s="212">
        <f t="shared" si="3"/>
        <v>0</v>
      </c>
      <c r="X61" s="210"/>
      <c r="Y61" s="213"/>
      <c r="Z61" s="212"/>
      <c r="AA61" s="210"/>
      <c r="AB61" s="221">
        <f t="shared" si="4"/>
        <v>3253.1800000000003</v>
      </c>
      <c r="AD61" s="207">
        <f>VLOOKUP(C61,[2]Headct!$C$23:$G$76,2,FALSE)</f>
        <v>3</v>
      </c>
      <c r="AE61" s="232" t="s">
        <v>356</v>
      </c>
    </row>
    <row r="62" spans="2:31">
      <c r="B62" s="232" t="s">
        <v>358</v>
      </c>
      <c r="C62" s="220" t="s">
        <v>359</v>
      </c>
      <c r="D62" s="208"/>
      <c r="E62" s="209">
        <f t="shared" si="5"/>
        <v>0</v>
      </c>
      <c r="F62" s="210"/>
      <c r="G62" s="211">
        <v>5.8000000000000003E-2</v>
      </c>
      <c r="H62" s="250"/>
      <c r="I62" s="210"/>
      <c r="J62" s="213">
        <v>2.5000000000000001E-2</v>
      </c>
      <c r="K62" s="212">
        <f t="shared" si="6"/>
        <v>4066.4750000000004</v>
      </c>
      <c r="L62" s="210"/>
      <c r="M62" s="208"/>
      <c r="N62" s="212">
        <f t="shared" si="7"/>
        <v>0</v>
      </c>
      <c r="O62" s="210"/>
      <c r="P62" s="213"/>
      <c r="Q62" s="212">
        <f t="shared" si="0"/>
        <v>0</v>
      </c>
      <c r="R62" s="210"/>
      <c r="S62" s="208"/>
      <c r="T62" s="212">
        <f t="shared" si="1"/>
        <v>0</v>
      </c>
      <c r="U62" s="210"/>
      <c r="V62" s="208">
        <v>0.05</v>
      </c>
      <c r="W62" s="212">
        <f t="shared" si="3"/>
        <v>7330.85</v>
      </c>
      <c r="X62" s="210"/>
      <c r="Y62" s="213"/>
      <c r="Z62" s="212"/>
      <c r="AA62" s="210"/>
      <c r="AB62" s="221">
        <f t="shared" si="4"/>
        <v>11397.325000000001</v>
      </c>
      <c r="AD62" s="207">
        <f>VLOOKUP(C62,[2]Headct!$C$23:$G$76,2,FALSE)</f>
        <v>20</v>
      </c>
      <c r="AE62" s="232" t="s">
        <v>358</v>
      </c>
    </row>
    <row r="63" spans="2:31">
      <c r="B63" s="232" t="s">
        <v>360</v>
      </c>
      <c r="C63" s="220" t="s">
        <v>361</v>
      </c>
      <c r="D63" s="208"/>
      <c r="E63" s="209">
        <f t="shared" si="5"/>
        <v>0</v>
      </c>
      <c r="F63" s="210"/>
      <c r="G63" s="211">
        <v>5.8000000000000003E-2</v>
      </c>
      <c r="H63" s="250"/>
      <c r="I63" s="210"/>
      <c r="J63" s="213">
        <v>2.5000000000000001E-2</v>
      </c>
      <c r="K63" s="212">
        <f t="shared" si="6"/>
        <v>4066.4750000000004</v>
      </c>
      <c r="L63" s="210"/>
      <c r="M63" s="208">
        <v>0</v>
      </c>
      <c r="N63" s="212">
        <f t="shared" si="7"/>
        <v>0</v>
      </c>
      <c r="O63" s="210"/>
      <c r="P63" s="213"/>
      <c r="Q63" s="212">
        <f t="shared" si="0"/>
        <v>0</v>
      </c>
      <c r="R63" s="210"/>
      <c r="S63" s="208"/>
      <c r="T63" s="212">
        <f t="shared" si="1"/>
        <v>0</v>
      </c>
      <c r="U63" s="210"/>
      <c r="V63" s="208">
        <v>0.05</v>
      </c>
      <c r="W63" s="212">
        <f t="shared" si="3"/>
        <v>7330.85</v>
      </c>
      <c r="X63" s="210"/>
      <c r="Y63" s="213"/>
      <c r="Z63" s="212"/>
      <c r="AA63" s="210"/>
      <c r="AB63" s="221">
        <f t="shared" si="4"/>
        <v>11397.325000000001</v>
      </c>
      <c r="AD63" s="207">
        <f>VLOOKUP(C63,[2]Headct!$C$23:$G$76,2,FALSE)</f>
        <v>22</v>
      </c>
      <c r="AE63" s="232" t="s">
        <v>360</v>
      </c>
    </row>
    <row r="64" spans="2:31" hidden="1">
      <c r="B64" s="232" t="s">
        <v>362</v>
      </c>
      <c r="C64" s="220" t="s">
        <v>363</v>
      </c>
      <c r="D64" s="208"/>
      <c r="E64" s="209">
        <f t="shared" si="5"/>
        <v>0</v>
      </c>
      <c r="F64" s="210"/>
      <c r="G64" s="211"/>
      <c r="H64" s="250"/>
      <c r="I64" s="210"/>
      <c r="J64" s="213"/>
      <c r="K64" s="212">
        <f t="shared" si="6"/>
        <v>0</v>
      </c>
      <c r="L64" s="210"/>
      <c r="M64" s="208"/>
      <c r="N64" s="212">
        <f t="shared" si="7"/>
        <v>0</v>
      </c>
      <c r="O64" s="210"/>
      <c r="P64" s="213"/>
      <c r="Q64" s="212">
        <f t="shared" si="0"/>
        <v>0</v>
      </c>
      <c r="R64" s="210"/>
      <c r="S64" s="208"/>
      <c r="T64" s="212">
        <f t="shared" si="1"/>
        <v>0</v>
      </c>
      <c r="U64" s="210"/>
      <c r="V64" s="208"/>
      <c r="W64" s="212">
        <f t="shared" si="3"/>
        <v>0</v>
      </c>
      <c r="X64" s="210"/>
      <c r="Y64" s="213"/>
      <c r="Z64" s="212"/>
      <c r="AA64" s="210"/>
      <c r="AB64" s="221">
        <f t="shared" si="4"/>
        <v>0</v>
      </c>
      <c r="AD64" s="207">
        <f>VLOOKUP(C64,[2]Headct!$C$23:$G$76,2,FALSE)</f>
        <v>0</v>
      </c>
      <c r="AE64" s="232" t="s">
        <v>362</v>
      </c>
    </row>
    <row r="65" spans="2:31">
      <c r="B65" s="232" t="s">
        <v>364</v>
      </c>
      <c r="C65" s="220" t="s">
        <v>365</v>
      </c>
      <c r="D65" s="208"/>
      <c r="E65" s="209">
        <f t="shared" si="5"/>
        <v>0</v>
      </c>
      <c r="F65" s="210"/>
      <c r="G65" s="211">
        <v>5.8000000000000003E-2</v>
      </c>
      <c r="H65" s="250"/>
      <c r="I65" s="210"/>
      <c r="J65" s="213">
        <v>2.5000000000000001E-2</v>
      </c>
      <c r="K65" s="212">
        <f t="shared" si="6"/>
        <v>4066.4750000000004</v>
      </c>
      <c r="L65" s="210"/>
      <c r="M65" s="208"/>
      <c r="N65" s="212">
        <f t="shared" si="7"/>
        <v>0</v>
      </c>
      <c r="O65" s="210"/>
      <c r="P65" s="213"/>
      <c r="Q65" s="212">
        <f t="shared" si="0"/>
        <v>0</v>
      </c>
      <c r="R65" s="210"/>
      <c r="S65" s="208"/>
      <c r="T65" s="212">
        <f t="shared" si="1"/>
        <v>0</v>
      </c>
      <c r="U65" s="210"/>
      <c r="V65" s="208">
        <v>0.05</v>
      </c>
      <c r="W65" s="212">
        <f t="shared" si="3"/>
        <v>7330.85</v>
      </c>
      <c r="X65" s="210"/>
      <c r="Y65" s="213"/>
      <c r="Z65" s="212"/>
      <c r="AA65" s="210"/>
      <c r="AB65" s="221">
        <f t="shared" si="4"/>
        <v>11397.325000000001</v>
      </c>
      <c r="AD65" s="207">
        <f>VLOOKUP(C65,[2]Headct!$C$23:$G$76,2,FALSE)</f>
        <v>12</v>
      </c>
      <c r="AE65" s="232" t="s">
        <v>364</v>
      </c>
    </row>
    <row r="66" spans="2:31">
      <c r="B66" s="232" t="s">
        <v>366</v>
      </c>
      <c r="C66" s="220" t="s">
        <v>366</v>
      </c>
      <c r="D66" s="208"/>
      <c r="E66" s="209">
        <f t="shared" si="5"/>
        <v>0</v>
      </c>
      <c r="F66" s="210" t="s">
        <v>383</v>
      </c>
      <c r="G66" s="211">
        <v>2.9000000000000001E-2</v>
      </c>
      <c r="H66" s="250"/>
      <c r="I66" s="210"/>
      <c r="J66" s="213">
        <v>2.5000000000000001E-2</v>
      </c>
      <c r="K66" s="212">
        <f t="shared" si="6"/>
        <v>4066.4750000000004</v>
      </c>
      <c r="L66" s="210"/>
      <c r="M66" s="208"/>
      <c r="N66" s="212">
        <f t="shared" si="7"/>
        <v>0</v>
      </c>
      <c r="O66" s="210"/>
      <c r="P66" s="213"/>
      <c r="Q66" s="212">
        <f t="shared" si="0"/>
        <v>0</v>
      </c>
      <c r="R66" s="210"/>
      <c r="S66" s="208"/>
      <c r="T66" s="212">
        <f t="shared" si="1"/>
        <v>0</v>
      </c>
      <c r="U66" s="210"/>
      <c r="V66" s="208">
        <v>0.02</v>
      </c>
      <c r="W66" s="212">
        <f t="shared" si="3"/>
        <v>2932.34</v>
      </c>
      <c r="X66" s="210"/>
      <c r="Y66" s="213"/>
      <c r="Z66" s="212"/>
      <c r="AA66" s="210"/>
      <c r="AB66" s="221">
        <f t="shared" si="4"/>
        <v>6998.8150000000005</v>
      </c>
      <c r="AD66" s="207">
        <f>VLOOKUP(C66,[2]Headct!$C$23:$G$76,2,FALSE)</f>
        <v>4</v>
      </c>
      <c r="AE66" s="232" t="s">
        <v>366</v>
      </c>
    </row>
    <row r="67" spans="2:31">
      <c r="B67" s="232" t="s">
        <v>367</v>
      </c>
      <c r="C67" s="220" t="s">
        <v>368</v>
      </c>
      <c r="D67" s="208">
        <v>0.88</v>
      </c>
      <c r="E67" s="209">
        <f t="shared" si="5"/>
        <v>0</v>
      </c>
      <c r="F67" s="210"/>
      <c r="G67" s="211"/>
      <c r="H67" s="250"/>
      <c r="I67" s="210"/>
      <c r="J67" s="213"/>
      <c r="K67" s="212">
        <f t="shared" si="6"/>
        <v>0</v>
      </c>
      <c r="L67" s="210"/>
      <c r="M67" s="208">
        <f>+M4*0.5</f>
        <v>0.2</v>
      </c>
      <c r="N67" s="212">
        <f t="shared" si="7"/>
        <v>20615.400000000001</v>
      </c>
      <c r="O67" s="210"/>
      <c r="P67" s="213">
        <v>0.4</v>
      </c>
      <c r="Q67" s="212">
        <f t="shared" si="0"/>
        <v>46260</v>
      </c>
      <c r="R67" s="210"/>
      <c r="S67" s="208">
        <v>0.2</v>
      </c>
      <c r="T67" s="212">
        <f t="shared" si="1"/>
        <v>11256</v>
      </c>
      <c r="U67" s="210"/>
      <c r="V67" s="208"/>
      <c r="W67" s="212">
        <f t="shared" si="3"/>
        <v>0</v>
      </c>
      <c r="X67" s="210"/>
      <c r="Y67" s="213">
        <f>7.6923%</f>
        <v>7.6923000000000005E-2</v>
      </c>
      <c r="Z67" s="212">
        <f>+Y67*$Z$82+$AB$2</f>
        <v>1125.0350000000003</v>
      </c>
      <c r="AA67" s="210"/>
      <c r="AB67" s="221">
        <f t="shared" si="4"/>
        <v>79256.434999999998</v>
      </c>
      <c r="AD67" s="207">
        <f>VLOOKUP(C67,[2]Headct!$C$23:$G$76,2,FALSE)</f>
        <v>25</v>
      </c>
      <c r="AE67" s="232" t="s">
        <v>367</v>
      </c>
    </row>
    <row r="68" spans="2:31">
      <c r="B68" s="232" t="s">
        <v>369</v>
      </c>
      <c r="C68" s="220" t="s">
        <v>370</v>
      </c>
      <c r="D68" s="208"/>
      <c r="E68" s="209">
        <f t="shared" si="5"/>
        <v>0</v>
      </c>
      <c r="F68" s="210" t="s">
        <v>383</v>
      </c>
      <c r="G68" s="211">
        <v>0.104</v>
      </c>
      <c r="H68" s="250"/>
      <c r="I68" s="210"/>
      <c r="J68" s="213">
        <v>2.5000000000000001E-2</v>
      </c>
      <c r="K68" s="212">
        <f t="shared" si="6"/>
        <v>4066.4750000000004</v>
      </c>
      <c r="L68" s="210"/>
      <c r="M68" s="208"/>
      <c r="N68" s="212">
        <f t="shared" si="7"/>
        <v>0</v>
      </c>
      <c r="O68" s="210"/>
      <c r="P68" s="213"/>
      <c r="Q68" s="212">
        <f t="shared" si="0"/>
        <v>0</v>
      </c>
      <c r="R68" s="210"/>
      <c r="S68" s="208"/>
      <c r="T68" s="212">
        <f t="shared" si="1"/>
        <v>0</v>
      </c>
      <c r="U68" s="210"/>
      <c r="V68" s="208">
        <v>0.01</v>
      </c>
      <c r="W68" s="212">
        <f t="shared" si="3"/>
        <v>1466.17</v>
      </c>
      <c r="X68" s="210"/>
      <c r="Y68" s="213"/>
      <c r="Z68" s="212"/>
      <c r="AA68" s="210"/>
      <c r="AB68" s="221">
        <f t="shared" si="4"/>
        <v>5532.6450000000004</v>
      </c>
      <c r="AD68" s="207">
        <f>VLOOKUP(C68,[2]Headct!$C$23:$G$76,2,FALSE)</f>
        <v>13</v>
      </c>
      <c r="AE68" s="232" t="s">
        <v>369</v>
      </c>
    </row>
    <row r="69" spans="2:31">
      <c r="B69" s="232" t="s">
        <v>371</v>
      </c>
      <c r="C69" s="220" t="s">
        <v>372</v>
      </c>
      <c r="D69" s="208"/>
      <c r="E69" s="209">
        <f t="shared" si="5"/>
        <v>0</v>
      </c>
      <c r="F69" s="210"/>
      <c r="G69" s="211">
        <v>1.9E-2</v>
      </c>
      <c r="H69" s="250"/>
      <c r="I69" s="210"/>
      <c r="J69" s="213">
        <v>0.05</v>
      </c>
      <c r="K69" s="212">
        <f t="shared" si="6"/>
        <v>8132.9500000000007</v>
      </c>
      <c r="L69" s="210"/>
      <c r="M69" s="208"/>
      <c r="N69" s="212">
        <f t="shared" si="7"/>
        <v>0</v>
      </c>
      <c r="O69" s="210"/>
      <c r="P69" s="213">
        <v>0.08</v>
      </c>
      <c r="Q69" s="212">
        <f t="shared" si="0"/>
        <v>9252</v>
      </c>
      <c r="R69" s="210"/>
      <c r="S69" s="208">
        <v>0.05</v>
      </c>
      <c r="T69" s="212">
        <f t="shared" si="1"/>
        <v>2814</v>
      </c>
      <c r="U69" s="210"/>
      <c r="V69" s="208"/>
      <c r="W69" s="212">
        <f t="shared" si="3"/>
        <v>0</v>
      </c>
      <c r="X69" s="210"/>
      <c r="Y69" s="213">
        <f>7.6923%</f>
        <v>7.6923000000000005E-2</v>
      </c>
      <c r="Z69" s="212">
        <f>+Y69*$Z$82+$AB$2</f>
        <v>1125.0350000000003</v>
      </c>
      <c r="AA69" s="210"/>
      <c r="AB69" s="221">
        <f t="shared" si="4"/>
        <v>21323.985000000001</v>
      </c>
      <c r="AD69" s="207">
        <f>VLOOKUP(C69,[2]Headct!$C$23:$G$76,2,FALSE)</f>
        <v>35</v>
      </c>
      <c r="AE69" s="232" t="s">
        <v>371</v>
      </c>
    </row>
    <row r="70" spans="2:31">
      <c r="B70" s="232" t="s">
        <v>373</v>
      </c>
      <c r="C70" s="220" t="s">
        <v>374</v>
      </c>
      <c r="D70" s="208"/>
      <c r="E70" s="209">
        <f t="shared" si="5"/>
        <v>0</v>
      </c>
      <c r="F70" s="210"/>
      <c r="G70" s="211">
        <v>5.8000000000000003E-2</v>
      </c>
      <c r="H70" s="250"/>
      <c r="I70" s="210"/>
      <c r="J70" s="213">
        <v>7.4999999999999997E-2</v>
      </c>
      <c r="K70" s="212">
        <f t="shared" si="6"/>
        <v>12199.424999999999</v>
      </c>
      <c r="L70" s="210"/>
      <c r="M70" s="208"/>
      <c r="N70" s="212">
        <f t="shared" si="7"/>
        <v>0</v>
      </c>
      <c r="O70" s="210"/>
      <c r="P70" s="213"/>
      <c r="Q70" s="212">
        <f t="shared" si="0"/>
        <v>0</v>
      </c>
      <c r="R70" s="210"/>
      <c r="S70" s="208"/>
      <c r="T70" s="212">
        <f t="shared" si="1"/>
        <v>0</v>
      </c>
      <c r="U70" s="210"/>
      <c r="V70" s="208">
        <v>0.2</v>
      </c>
      <c r="W70" s="212">
        <f t="shared" si="3"/>
        <v>29323.4</v>
      </c>
      <c r="X70" s="210"/>
      <c r="Y70" s="213"/>
      <c r="Z70" s="212"/>
      <c r="AA70" s="210"/>
      <c r="AB70" s="221">
        <f t="shared" si="4"/>
        <v>41522.824999999997</v>
      </c>
      <c r="AD70" s="207">
        <f>VLOOKUP(C70,[2]Headct!$C$23:$G$76,2,FALSE)</f>
        <v>53</v>
      </c>
      <c r="AE70" s="232" t="s">
        <v>373</v>
      </c>
    </row>
    <row r="71" spans="2:31">
      <c r="B71" s="232"/>
      <c r="C71" s="220" t="s">
        <v>385</v>
      </c>
      <c r="D71" s="208"/>
      <c r="E71" s="209"/>
      <c r="F71" s="210"/>
      <c r="G71" s="211"/>
      <c r="H71" s="250">
        <v>7.0000000000000007E-2</v>
      </c>
      <c r="I71" s="210"/>
      <c r="J71" s="213"/>
      <c r="K71" s="212"/>
      <c r="L71" s="210"/>
      <c r="M71" s="208"/>
      <c r="N71" s="212"/>
      <c r="O71" s="210"/>
      <c r="P71" s="213"/>
      <c r="Q71" s="212"/>
      <c r="R71" s="210"/>
      <c r="S71" s="208"/>
      <c r="T71" s="212"/>
      <c r="U71" s="210"/>
      <c r="V71" s="208"/>
      <c r="W71" s="212"/>
      <c r="X71" s="210"/>
      <c r="Y71" s="213"/>
      <c r="Z71" s="212"/>
      <c r="AA71" s="210"/>
      <c r="AB71" s="221"/>
      <c r="AE71" s="232"/>
    </row>
    <row r="72" spans="2:31">
      <c r="B72" s="232"/>
      <c r="C72" s="220" t="s">
        <v>386</v>
      </c>
      <c r="D72" s="208"/>
      <c r="E72" s="209"/>
      <c r="F72" s="210"/>
      <c r="G72" s="211"/>
      <c r="H72" s="250">
        <v>2.4E-2</v>
      </c>
      <c r="I72" s="210"/>
      <c r="J72" s="213"/>
      <c r="K72" s="212"/>
      <c r="L72" s="210"/>
      <c r="M72" s="208"/>
      <c r="N72" s="212"/>
      <c r="O72" s="210"/>
      <c r="P72" s="213"/>
      <c r="Q72" s="212"/>
      <c r="R72" s="210"/>
      <c r="S72" s="208"/>
      <c r="T72" s="212"/>
      <c r="U72" s="210"/>
      <c r="V72" s="208"/>
      <c r="W72" s="212"/>
      <c r="X72" s="210"/>
      <c r="Y72" s="213"/>
      <c r="Z72" s="212"/>
      <c r="AA72" s="210"/>
      <c r="AB72" s="221"/>
      <c r="AE72" s="232"/>
    </row>
    <row r="73" spans="2:31">
      <c r="B73" s="232"/>
      <c r="C73" s="220" t="s">
        <v>387</v>
      </c>
      <c r="D73" s="208"/>
      <c r="E73" s="209"/>
      <c r="F73" s="210"/>
      <c r="G73" s="211"/>
      <c r="H73" s="250">
        <v>0.01</v>
      </c>
      <c r="I73" s="210"/>
      <c r="J73" s="213"/>
      <c r="K73" s="212"/>
      <c r="L73" s="210"/>
      <c r="M73" s="208"/>
      <c r="N73" s="212"/>
      <c r="O73" s="210"/>
      <c r="P73" s="213"/>
      <c r="Q73" s="212"/>
      <c r="R73" s="210"/>
      <c r="S73" s="208"/>
      <c r="T73" s="212"/>
      <c r="U73" s="210"/>
      <c r="V73" s="208"/>
      <c r="W73" s="212"/>
      <c r="X73" s="210"/>
      <c r="Y73" s="213"/>
      <c r="Z73" s="212"/>
      <c r="AA73" s="210"/>
      <c r="AB73" s="221"/>
      <c r="AE73" s="232"/>
    </row>
    <row r="74" spans="2:31">
      <c r="B74" s="232"/>
      <c r="C74" s="220" t="s">
        <v>388</v>
      </c>
      <c r="D74" s="208"/>
      <c r="E74" s="209"/>
      <c r="F74" s="210"/>
      <c r="G74" s="211"/>
      <c r="H74" s="250">
        <v>0.13500000000000001</v>
      </c>
      <c r="I74" s="210"/>
      <c r="J74" s="213"/>
      <c r="K74" s="212"/>
      <c r="L74" s="210"/>
      <c r="M74" s="208"/>
      <c r="N74" s="212"/>
      <c r="O74" s="210"/>
      <c r="P74" s="213"/>
      <c r="Q74" s="212"/>
      <c r="R74" s="210"/>
      <c r="S74" s="208"/>
      <c r="T74" s="212"/>
      <c r="U74" s="210"/>
      <c r="V74" s="208"/>
      <c r="W74" s="212"/>
      <c r="X74" s="210"/>
      <c r="Y74" s="213"/>
      <c r="Z74" s="212"/>
      <c r="AA74" s="210"/>
      <c r="AB74" s="221"/>
      <c r="AE74" s="232"/>
    </row>
    <row r="75" spans="2:31">
      <c r="B75" s="232"/>
      <c r="C75" s="220" t="s">
        <v>389</v>
      </c>
      <c r="D75" s="208"/>
      <c r="E75" s="209"/>
      <c r="F75" s="210"/>
      <c r="G75" s="211"/>
      <c r="H75" s="250">
        <v>0.13700000000000001</v>
      </c>
      <c r="I75" s="210"/>
      <c r="J75" s="213"/>
      <c r="K75" s="212"/>
      <c r="L75" s="210"/>
      <c r="M75" s="208"/>
      <c r="N75" s="212"/>
      <c r="O75" s="210"/>
      <c r="P75" s="213"/>
      <c r="Q75" s="212"/>
      <c r="R75" s="210"/>
      <c r="S75" s="208"/>
      <c r="T75" s="212"/>
      <c r="U75" s="210"/>
      <c r="V75" s="208"/>
      <c r="W75" s="212"/>
      <c r="X75" s="210"/>
      <c r="Y75" s="213"/>
      <c r="Z75" s="212"/>
      <c r="AA75" s="210"/>
      <c r="AB75" s="221"/>
      <c r="AE75" s="232"/>
    </row>
    <row r="76" spans="2:31">
      <c r="B76" s="232"/>
      <c r="C76" s="220" t="s">
        <v>390</v>
      </c>
      <c r="D76" s="208"/>
      <c r="E76" s="209"/>
      <c r="F76" s="210"/>
      <c r="G76" s="211"/>
      <c r="H76" s="250">
        <v>1.2E-2</v>
      </c>
      <c r="I76" s="210"/>
      <c r="J76" s="213"/>
      <c r="K76" s="212"/>
      <c r="L76" s="210"/>
      <c r="M76" s="208"/>
      <c r="N76" s="212"/>
      <c r="O76" s="210"/>
      <c r="P76" s="213"/>
      <c r="Q76" s="212"/>
      <c r="R76" s="210"/>
      <c r="S76" s="208"/>
      <c r="T76" s="212"/>
      <c r="U76" s="210"/>
      <c r="V76" s="208"/>
      <c r="W76" s="212"/>
      <c r="X76" s="210"/>
      <c r="Y76" s="213"/>
      <c r="Z76" s="212"/>
      <c r="AA76" s="210"/>
      <c r="AB76" s="221"/>
      <c r="AE76" s="232"/>
    </row>
    <row r="77" spans="2:31">
      <c r="B77" s="232"/>
      <c r="C77" s="220" t="s">
        <v>391</v>
      </c>
      <c r="D77" s="208"/>
      <c r="E77" s="209"/>
      <c r="F77" s="210"/>
      <c r="G77" s="211"/>
      <c r="H77" s="250">
        <v>1.2E-2</v>
      </c>
      <c r="I77" s="210"/>
      <c r="J77" s="213"/>
      <c r="K77" s="212"/>
      <c r="L77" s="210"/>
      <c r="M77" s="208"/>
      <c r="N77" s="212"/>
      <c r="O77" s="210"/>
      <c r="P77" s="213"/>
      <c r="Q77" s="212"/>
      <c r="R77" s="210"/>
      <c r="S77" s="208"/>
      <c r="T77" s="212"/>
      <c r="U77" s="210"/>
      <c r="V77" s="208"/>
      <c r="W77" s="212"/>
      <c r="X77" s="210"/>
      <c r="Y77" s="213"/>
      <c r="Z77" s="212"/>
      <c r="AA77" s="210"/>
      <c r="AB77" s="221"/>
      <c r="AE77" s="232"/>
    </row>
    <row r="78" spans="2:31">
      <c r="B78" s="232"/>
      <c r="C78" s="220" t="s">
        <v>392</v>
      </c>
      <c r="D78" s="208"/>
      <c r="E78" s="209"/>
      <c r="F78" s="210"/>
      <c r="G78" s="211"/>
      <c r="H78" s="250">
        <v>1.2E-2</v>
      </c>
      <c r="I78" s="210"/>
      <c r="J78" s="213"/>
      <c r="K78" s="212"/>
      <c r="L78" s="210"/>
      <c r="M78" s="208"/>
      <c r="N78" s="212"/>
      <c r="O78" s="210"/>
      <c r="P78" s="213"/>
      <c r="Q78" s="212"/>
      <c r="R78" s="210"/>
      <c r="S78" s="208"/>
      <c r="T78" s="212"/>
      <c r="U78" s="210"/>
      <c r="V78" s="208"/>
      <c r="W78" s="212"/>
      <c r="X78" s="210"/>
      <c r="Y78" s="213"/>
      <c r="Z78" s="212"/>
      <c r="AA78" s="210"/>
      <c r="AB78" s="221"/>
      <c r="AE78" s="232"/>
    </row>
    <row r="79" spans="2:31">
      <c r="B79" s="232"/>
      <c r="C79" s="220" t="s">
        <v>393</v>
      </c>
      <c r="D79" s="208"/>
      <c r="E79" s="209"/>
      <c r="F79" s="210"/>
      <c r="G79" s="211"/>
      <c r="H79" s="250">
        <v>1.2E-2</v>
      </c>
      <c r="I79" s="210"/>
      <c r="J79" s="213"/>
      <c r="K79" s="212"/>
      <c r="L79" s="210"/>
      <c r="M79" s="208"/>
      <c r="N79" s="212"/>
      <c r="O79" s="210"/>
      <c r="P79" s="213"/>
      <c r="Q79" s="212"/>
      <c r="R79" s="210"/>
      <c r="S79" s="208"/>
      <c r="T79" s="212"/>
      <c r="U79" s="210"/>
      <c r="V79" s="208"/>
      <c r="W79" s="212"/>
      <c r="X79" s="210"/>
      <c r="Y79" s="213"/>
      <c r="Z79" s="212"/>
      <c r="AA79" s="210"/>
      <c r="AB79" s="221"/>
      <c r="AE79" s="232"/>
    </row>
    <row r="80" spans="2:31">
      <c r="B80" s="232"/>
      <c r="C80" s="220" t="s">
        <v>394</v>
      </c>
      <c r="D80" s="208"/>
      <c r="E80" s="209"/>
      <c r="F80" s="210"/>
      <c r="G80" s="211"/>
      <c r="H80" s="250">
        <v>0.184</v>
      </c>
      <c r="I80" s="210"/>
      <c r="J80" s="213"/>
      <c r="K80" s="212"/>
      <c r="L80" s="210"/>
      <c r="M80" s="208"/>
      <c r="N80" s="212"/>
      <c r="O80" s="210"/>
      <c r="P80" s="213"/>
      <c r="Q80" s="212"/>
      <c r="R80" s="210"/>
      <c r="S80" s="208"/>
      <c r="T80" s="212"/>
      <c r="U80" s="210"/>
      <c r="V80" s="208"/>
      <c r="W80" s="212"/>
      <c r="X80" s="210"/>
      <c r="Y80" s="213"/>
      <c r="Z80" s="212"/>
      <c r="AA80" s="210"/>
      <c r="AB80" s="221"/>
      <c r="AE80" s="232"/>
    </row>
    <row r="81" spans="3:28">
      <c r="C81" s="220"/>
      <c r="D81" s="220"/>
      <c r="E81" s="230"/>
      <c r="F81" s="210"/>
      <c r="G81" s="220"/>
      <c r="H81" s="250"/>
      <c r="I81" s="210"/>
      <c r="J81" s="220"/>
      <c r="K81" s="230"/>
      <c r="L81" s="210"/>
      <c r="M81" s="220"/>
      <c r="N81" s="230"/>
      <c r="O81" s="210"/>
      <c r="P81" s="213"/>
      <c r="Q81" s="230"/>
      <c r="R81" s="210"/>
      <c r="S81" s="220"/>
      <c r="T81" s="230"/>
      <c r="U81" s="210"/>
      <c r="V81" s="220"/>
      <c r="W81" s="230"/>
      <c r="X81" s="210"/>
      <c r="Y81" s="220"/>
      <c r="Z81" s="212"/>
      <c r="AA81" s="210"/>
      <c r="AB81" s="231"/>
    </row>
    <row r="82" spans="3:28" s="239" customFormat="1" ht="13.8" thickBot="1">
      <c r="C82" s="240" t="s">
        <v>185</v>
      </c>
      <c r="D82" s="241">
        <f>SUM(D22:D81)</f>
        <v>1</v>
      </c>
      <c r="E82" s="242">
        <f>+[2]Input!C40</f>
        <v>0</v>
      </c>
      <c r="F82" s="243"/>
      <c r="G82" s="241">
        <f>SUM(G22:G81)</f>
        <v>1.0000000000000002</v>
      </c>
      <c r="H82" s="253">
        <f>SUM(H22:H81)</f>
        <v>0.78300000000000014</v>
      </c>
      <c r="I82" s="243"/>
      <c r="J82" s="241">
        <f>SUM(J22:J81)</f>
        <v>1.0000000000000004</v>
      </c>
      <c r="K82" s="242">
        <f>+[2]Input!C42</f>
        <v>162659</v>
      </c>
      <c r="L82" s="243"/>
      <c r="M82" s="241">
        <f>SUM(M22:M81)</f>
        <v>1</v>
      </c>
      <c r="N82" s="242">
        <f>+[2]Input!C43</f>
        <v>103077</v>
      </c>
      <c r="O82" s="243"/>
      <c r="P82" s="241">
        <f>SUM(P22:P81)</f>
        <v>0.99999999999999989</v>
      </c>
      <c r="Q82" s="242">
        <f>+[2]Input!C44</f>
        <v>115650</v>
      </c>
      <c r="R82" s="243"/>
      <c r="S82" s="241">
        <f>SUM(S22:S81)</f>
        <v>1.0000000000000002</v>
      </c>
      <c r="T82" s="242">
        <f>+[2]Input!C45</f>
        <v>56280</v>
      </c>
      <c r="U82" s="243"/>
      <c r="V82" s="241">
        <f>SUM(V22:V81)</f>
        <v>1.0000000000000002</v>
      </c>
      <c r="W82" s="242">
        <f>+[2]Input!C46</f>
        <v>146617</v>
      </c>
      <c r="X82" s="243"/>
      <c r="Y82" s="244">
        <f>SUM(Y23:Y81)</f>
        <v>0.99999899999999986</v>
      </c>
      <c r="Z82" s="242">
        <f>+[2]Input!C47</f>
        <v>45000</v>
      </c>
      <c r="AA82" s="243"/>
      <c r="AB82" s="245">
        <f>+Z82+W82+T82+Q82+N82+H82+E82+K82</f>
        <v>629283.78300000005</v>
      </c>
    </row>
    <row r="83" spans="3:28" ht="14.4" thickTop="1" thickBot="1">
      <c r="C83" s="246"/>
      <c r="D83" s="247"/>
      <c r="E83" s="247"/>
      <c r="F83" s="247"/>
      <c r="G83" s="247"/>
      <c r="H83" s="254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8"/>
    </row>
    <row r="84" spans="3:28" s="249" customFormat="1" ht="9.75" customHeight="1">
      <c r="C84" s="249" t="s">
        <v>375</v>
      </c>
      <c r="E84" s="249">
        <f>SUM(E22:E81)</f>
        <v>0</v>
      </c>
      <c r="H84" s="255">
        <f>SUM(H22:H81)</f>
        <v>0.78300000000000014</v>
      </c>
      <c r="K84" s="249">
        <f>SUM(K22:K81)</f>
        <v>162659</v>
      </c>
      <c r="N84" s="249">
        <f>SUM(N22:N81)</f>
        <v>103077</v>
      </c>
      <c r="Q84" s="249">
        <f>SUM(Q22:Q81)</f>
        <v>115650</v>
      </c>
      <c r="T84" s="249">
        <f>SUM(T22:T81)</f>
        <v>56280</v>
      </c>
      <c r="W84" s="249">
        <f>SUM(W22:W81)</f>
        <v>146617</v>
      </c>
      <c r="Z84" s="249">
        <f>SUM(Z22:Z81)</f>
        <v>44999.955000000038</v>
      </c>
      <c r="AB84" s="249">
        <f>SUM(AB22:AB81)</f>
        <v>629283.13</v>
      </c>
    </row>
    <row r="85" spans="3:28">
      <c r="H85" s="251">
        <f>1-H84</f>
        <v>0.21699999999999986</v>
      </c>
    </row>
  </sheetData>
  <mergeCells count="19">
    <mergeCell ref="C15:AB15"/>
    <mergeCell ref="C16:AB16"/>
    <mergeCell ref="C17:AB17"/>
    <mergeCell ref="D19:E19"/>
    <mergeCell ref="G19:H19"/>
    <mergeCell ref="J19:K19"/>
    <mergeCell ref="M19:N19"/>
    <mergeCell ref="P19:Q19"/>
    <mergeCell ref="S19:T19"/>
    <mergeCell ref="V19:W19"/>
    <mergeCell ref="Y19:Z19"/>
    <mergeCell ref="D20:E20"/>
    <mergeCell ref="G20:H20"/>
    <mergeCell ref="J20:K20"/>
    <mergeCell ref="M20:N20"/>
    <mergeCell ref="P20:Q20"/>
    <mergeCell ref="S20:T20"/>
    <mergeCell ref="V20:W20"/>
    <mergeCell ref="Y20:Z20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2"/>
  <sheetViews>
    <sheetView topLeftCell="A42" zoomScale="75" workbookViewId="0">
      <selection activeCell="C72" sqref="C72"/>
    </sheetView>
  </sheetViews>
  <sheetFormatPr defaultColWidth="9.33203125" defaultRowHeight="13.8"/>
  <cols>
    <col min="1" max="1" width="35.77734375" style="1" customWidth="1"/>
    <col min="2" max="2" width="1.77734375" style="1" customWidth="1"/>
    <col min="3" max="15" width="11.77734375" style="1" customWidth="1"/>
    <col min="16" max="16384" width="9.33203125" style="1"/>
  </cols>
  <sheetData>
    <row r="1" spans="1:16">
      <c r="B1" s="196" t="s">
        <v>142</v>
      </c>
      <c r="C1" s="197" t="s">
        <v>241</v>
      </c>
      <c r="D1" s="198"/>
      <c r="E1" s="199" t="s">
        <v>242</v>
      </c>
      <c r="F1" s="200" t="s">
        <v>243</v>
      </c>
    </row>
    <row r="2" spans="1:16">
      <c r="B2" s="196" t="s">
        <v>145</v>
      </c>
      <c r="C2" s="197"/>
      <c r="D2" s="198"/>
      <c r="E2" s="1" t="s">
        <v>244</v>
      </c>
    </row>
    <row r="3" spans="1:16">
      <c r="B3" s="196" t="s">
        <v>150</v>
      </c>
      <c r="C3" s="197" t="s">
        <v>245</v>
      </c>
      <c r="D3" s="198"/>
    </row>
    <row r="4" spans="1:16">
      <c r="B4" s="196" t="s">
        <v>154</v>
      </c>
      <c r="C4" s="197" t="s">
        <v>246</v>
      </c>
      <c r="D4" s="198"/>
    </row>
    <row r="6" spans="1:16">
      <c r="A6" s="173" t="s">
        <v>97</v>
      </c>
      <c r="C6" s="174">
        <v>36526</v>
      </c>
      <c r="D6" s="175">
        <v>36557</v>
      </c>
      <c r="E6" s="175">
        <v>36586</v>
      </c>
      <c r="F6" s="175">
        <v>36617</v>
      </c>
      <c r="G6" s="175">
        <v>36647</v>
      </c>
      <c r="H6" s="175">
        <v>36678</v>
      </c>
      <c r="I6" s="175">
        <v>36708</v>
      </c>
      <c r="J6" s="175">
        <v>36739</v>
      </c>
      <c r="K6" s="175">
        <v>36770</v>
      </c>
      <c r="L6" s="175">
        <v>36800</v>
      </c>
      <c r="M6" s="175">
        <v>36831</v>
      </c>
      <c r="N6" s="176">
        <v>36861</v>
      </c>
      <c r="O6" s="177"/>
    </row>
    <row r="7" spans="1:16">
      <c r="O7" s="9"/>
    </row>
    <row r="8" spans="1:16" s="5" customFormat="1">
      <c r="A8" s="1" t="s">
        <v>247</v>
      </c>
      <c r="B8" s="1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P8" s="8"/>
    </row>
    <row r="9" spans="1:16" s="5" customFormat="1">
      <c r="A9" s="1" t="s">
        <v>248</v>
      </c>
      <c r="B9" s="1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P9" s="8"/>
    </row>
    <row r="10" spans="1:16" s="5" customFormat="1">
      <c r="A10" s="1" t="s">
        <v>249</v>
      </c>
      <c r="B10" s="1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P10" s="8"/>
    </row>
    <row r="11" spans="1:16" s="5" customFormat="1">
      <c r="A11" s="1" t="s">
        <v>250</v>
      </c>
      <c r="B11" s="1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P11" s="8"/>
    </row>
    <row r="12" spans="1:16" s="5" customFormat="1">
      <c r="A12" s="1" t="s">
        <v>251</v>
      </c>
      <c r="B12" s="1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P12" s="8"/>
    </row>
    <row r="13" spans="1:16" s="5" customFormat="1">
      <c r="A13" s="1" t="s">
        <v>252</v>
      </c>
      <c r="B13" s="1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P13" s="8"/>
    </row>
    <row r="14" spans="1:16" s="5" customFormat="1">
      <c r="A14" s="1" t="s">
        <v>253</v>
      </c>
      <c r="B14" s="1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P14" s="8"/>
    </row>
    <row r="15" spans="1:16" s="5" customFormat="1">
      <c r="A15" s="1" t="s">
        <v>254</v>
      </c>
      <c r="B15" s="1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P15" s="8"/>
    </row>
    <row r="16" spans="1:16" s="5" customFormat="1">
      <c r="A16" s="1" t="s">
        <v>255</v>
      </c>
      <c r="B16" s="1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P16" s="8"/>
    </row>
    <row r="17" spans="1:21" s="5" customFormat="1">
      <c r="A17" s="1" t="s">
        <v>256</v>
      </c>
      <c r="B17" s="1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P17" s="8"/>
    </row>
    <row r="18" spans="1:21" s="5" customFormat="1">
      <c r="A18" s="1" t="s">
        <v>257</v>
      </c>
      <c r="B18" s="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P18" s="8"/>
    </row>
    <row r="19" spans="1:21" s="5" customFormat="1">
      <c r="A19" s="180" t="s">
        <v>179</v>
      </c>
      <c r="B19" s="1"/>
      <c r="C19" s="181">
        <f>SUM(C8:C18)</f>
        <v>0</v>
      </c>
      <c r="D19" s="181">
        <f t="shared" ref="D19:N19" si="0">SUM(D8:D18)</f>
        <v>0</v>
      </c>
      <c r="E19" s="181">
        <f t="shared" si="0"/>
        <v>0</v>
      </c>
      <c r="F19" s="181">
        <f t="shared" si="0"/>
        <v>0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0</v>
      </c>
      <c r="K19" s="181">
        <f t="shared" si="0"/>
        <v>0</v>
      </c>
      <c r="L19" s="181">
        <f t="shared" si="0"/>
        <v>0</v>
      </c>
      <c r="M19" s="181">
        <f t="shared" si="0"/>
        <v>0</v>
      </c>
      <c r="N19" s="181">
        <f t="shared" si="0"/>
        <v>0</v>
      </c>
      <c r="P19" s="8"/>
    </row>
    <row r="20" spans="1:21" s="5" customFormat="1">
      <c r="A20" s="2" t="s">
        <v>258</v>
      </c>
      <c r="B20" s="1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P20" s="8"/>
    </row>
    <row r="21" spans="1:21" s="5" customFormat="1" ht="14.4" thickBot="1">
      <c r="A21" s="182" t="s">
        <v>112</v>
      </c>
      <c r="B21" s="1"/>
      <c r="C21" s="202">
        <f>C19+C20</f>
        <v>0</v>
      </c>
      <c r="D21" s="202">
        <f t="shared" ref="D21:N21" si="1">D19+D20</f>
        <v>0</v>
      </c>
      <c r="E21" s="202">
        <f t="shared" si="1"/>
        <v>0</v>
      </c>
      <c r="F21" s="202">
        <f t="shared" si="1"/>
        <v>0</v>
      </c>
      <c r="G21" s="202">
        <f t="shared" si="1"/>
        <v>0</v>
      </c>
      <c r="H21" s="202">
        <f t="shared" si="1"/>
        <v>0</v>
      </c>
      <c r="I21" s="202">
        <f t="shared" si="1"/>
        <v>0</v>
      </c>
      <c r="J21" s="202">
        <f t="shared" si="1"/>
        <v>0</v>
      </c>
      <c r="K21" s="202">
        <f t="shared" si="1"/>
        <v>0</v>
      </c>
      <c r="L21" s="202">
        <f t="shared" si="1"/>
        <v>0</v>
      </c>
      <c r="M21" s="202">
        <f t="shared" si="1"/>
        <v>0</v>
      </c>
      <c r="N21" s="202">
        <f t="shared" si="1"/>
        <v>0</v>
      </c>
      <c r="P21" s="184"/>
    </row>
    <row r="22" spans="1:21" s="5" customFormat="1" ht="14.4" thickTop="1">
      <c r="B22" s="182"/>
      <c r="C22" s="1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184"/>
    </row>
    <row r="24" spans="1:21">
      <c r="A24" s="173" t="s">
        <v>0</v>
      </c>
      <c r="C24" s="174">
        <v>36526</v>
      </c>
      <c r="D24" s="175">
        <v>36557</v>
      </c>
      <c r="E24" s="175">
        <v>36586</v>
      </c>
      <c r="F24" s="175">
        <v>36617</v>
      </c>
      <c r="G24" s="175">
        <v>36647</v>
      </c>
      <c r="H24" s="175">
        <v>36678</v>
      </c>
      <c r="I24" s="175">
        <v>36708</v>
      </c>
      <c r="J24" s="175">
        <v>36739</v>
      </c>
      <c r="K24" s="175">
        <v>36770</v>
      </c>
      <c r="L24" s="175">
        <v>36800</v>
      </c>
      <c r="M24" s="175">
        <v>36831</v>
      </c>
      <c r="N24" s="175">
        <v>36861</v>
      </c>
      <c r="O24" s="176" t="s">
        <v>185</v>
      </c>
      <c r="P24" s="185"/>
      <c r="Q24" s="185"/>
      <c r="R24" s="185"/>
      <c r="S24" s="185"/>
      <c r="T24" s="185"/>
      <c r="U24" s="185"/>
    </row>
    <row r="25" spans="1:21"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</row>
    <row r="26" spans="1:21">
      <c r="A26" s="1" t="s">
        <v>1</v>
      </c>
      <c r="C26" s="204">
        <v>404299</v>
      </c>
      <c r="D26" s="204">
        <v>404299</v>
      </c>
      <c r="E26" s="204">
        <v>404299</v>
      </c>
      <c r="F26" s="204">
        <v>404299</v>
      </c>
      <c r="G26" s="204">
        <v>404299</v>
      </c>
      <c r="H26" s="204">
        <v>404299</v>
      </c>
      <c r="I26" s="204">
        <v>404299</v>
      </c>
      <c r="J26" s="204">
        <v>404299</v>
      </c>
      <c r="K26" s="204">
        <v>404299</v>
      </c>
      <c r="L26" s="204">
        <v>404299</v>
      </c>
      <c r="M26" s="204">
        <v>404299</v>
      </c>
      <c r="N26" s="204">
        <v>404299</v>
      </c>
      <c r="O26" s="187">
        <f t="shared" ref="O26:O76" si="2">SUM(C26:N26)</f>
        <v>4851588</v>
      </c>
    </row>
    <row r="27" spans="1:21">
      <c r="A27" s="1" t="s">
        <v>2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187">
        <f t="shared" si="2"/>
        <v>0</v>
      </c>
    </row>
    <row r="28" spans="1:21">
      <c r="A28" s="180" t="s">
        <v>3</v>
      </c>
      <c r="B28" s="3"/>
      <c r="C28" s="189">
        <f t="shared" ref="C28:I28" si="3">SUM(C26:C27)</f>
        <v>404299</v>
      </c>
      <c r="D28" s="189">
        <f t="shared" si="3"/>
        <v>404299</v>
      </c>
      <c r="E28" s="189">
        <f t="shared" si="3"/>
        <v>404299</v>
      </c>
      <c r="F28" s="189">
        <f t="shared" si="3"/>
        <v>404299</v>
      </c>
      <c r="G28" s="189">
        <f t="shared" si="3"/>
        <v>404299</v>
      </c>
      <c r="H28" s="189">
        <f t="shared" si="3"/>
        <v>404299</v>
      </c>
      <c r="I28" s="189">
        <f t="shared" si="3"/>
        <v>404299</v>
      </c>
      <c r="J28" s="189">
        <f>SUM(J26:J27)</f>
        <v>404299</v>
      </c>
      <c r="K28" s="189">
        <f>SUM(K26:K27)</f>
        <v>404299</v>
      </c>
      <c r="L28" s="189">
        <f>SUM(L26:L27)</f>
        <v>404299</v>
      </c>
      <c r="M28" s="189">
        <f>SUM(M26:M27)</f>
        <v>404299</v>
      </c>
      <c r="N28" s="189">
        <f>SUM(N26:N27)</f>
        <v>404299</v>
      </c>
      <c r="O28" s="189">
        <f t="shared" si="2"/>
        <v>4851588</v>
      </c>
    </row>
    <row r="29" spans="1:21">
      <c r="A29" s="190" t="s">
        <v>4</v>
      </c>
      <c r="B29" s="3"/>
      <c r="C29" s="187">
        <v>49064</v>
      </c>
      <c r="D29" s="187">
        <v>49064</v>
      </c>
      <c r="E29" s="187">
        <v>49064</v>
      </c>
      <c r="F29" s="187">
        <v>49064</v>
      </c>
      <c r="G29" s="187">
        <v>49064</v>
      </c>
      <c r="H29" s="187">
        <v>49064</v>
      </c>
      <c r="I29" s="187">
        <v>49064</v>
      </c>
      <c r="J29" s="187">
        <v>49064</v>
      </c>
      <c r="K29" s="187">
        <v>49064</v>
      </c>
      <c r="L29" s="187">
        <v>49064</v>
      </c>
      <c r="M29" s="187">
        <v>49064</v>
      </c>
      <c r="N29" s="187">
        <v>49064</v>
      </c>
      <c r="O29" s="187">
        <f t="shared" si="2"/>
        <v>588768</v>
      </c>
    </row>
    <row r="30" spans="1:21">
      <c r="A30" s="3" t="s">
        <v>5</v>
      </c>
      <c r="B30" s="3"/>
      <c r="C30" s="187">
        <v>25507</v>
      </c>
      <c r="D30" s="187">
        <v>25507</v>
      </c>
      <c r="E30" s="187">
        <v>25507</v>
      </c>
      <c r="F30" s="187">
        <v>25507</v>
      </c>
      <c r="G30" s="187">
        <v>25507</v>
      </c>
      <c r="H30" s="187">
        <v>25507</v>
      </c>
      <c r="I30" s="187">
        <v>25507</v>
      </c>
      <c r="J30" s="187">
        <v>25507</v>
      </c>
      <c r="K30" s="187">
        <v>11287</v>
      </c>
      <c r="L30" s="187">
        <v>11287</v>
      </c>
      <c r="M30" s="187">
        <v>11287</v>
      </c>
      <c r="N30" s="187">
        <v>11287</v>
      </c>
      <c r="O30" s="187">
        <f t="shared" si="2"/>
        <v>249204</v>
      </c>
    </row>
    <row r="31" spans="1:21">
      <c r="A31" s="191" t="s">
        <v>6</v>
      </c>
      <c r="B31" s="3"/>
      <c r="C31" s="189">
        <f t="shared" ref="C31:I31" si="4">SUM(C29:C30)</f>
        <v>74571</v>
      </c>
      <c r="D31" s="189">
        <f t="shared" si="4"/>
        <v>74571</v>
      </c>
      <c r="E31" s="189">
        <f t="shared" si="4"/>
        <v>74571</v>
      </c>
      <c r="F31" s="189">
        <f t="shared" si="4"/>
        <v>74571</v>
      </c>
      <c r="G31" s="189">
        <f t="shared" si="4"/>
        <v>74571</v>
      </c>
      <c r="H31" s="189">
        <f t="shared" si="4"/>
        <v>74571</v>
      </c>
      <c r="I31" s="189">
        <f t="shared" si="4"/>
        <v>74571</v>
      </c>
      <c r="J31" s="189">
        <f>SUM(J29:J30)</f>
        <v>74571</v>
      </c>
      <c r="K31" s="189">
        <f>SUM(K29:K30)</f>
        <v>60351</v>
      </c>
      <c r="L31" s="189">
        <f>SUM(L29:L30)</f>
        <v>60351</v>
      </c>
      <c r="M31" s="189">
        <f>SUM(M29:M30)</f>
        <v>60351</v>
      </c>
      <c r="N31" s="189">
        <f>SUM(N29:N30)</f>
        <v>60351</v>
      </c>
      <c r="O31" s="189">
        <f t="shared" si="2"/>
        <v>837972</v>
      </c>
    </row>
    <row r="32" spans="1:21">
      <c r="A32" s="3" t="s">
        <v>7</v>
      </c>
      <c r="B32" s="3"/>
      <c r="C32" s="205">
        <v>1250</v>
      </c>
      <c r="D32" s="205">
        <v>1250</v>
      </c>
      <c r="E32" s="205">
        <v>1250</v>
      </c>
      <c r="F32" s="205">
        <v>1250</v>
      </c>
      <c r="G32" s="205">
        <v>1250</v>
      </c>
      <c r="H32" s="205">
        <v>1250</v>
      </c>
      <c r="I32" s="205">
        <v>1250</v>
      </c>
      <c r="J32" s="205">
        <v>1250</v>
      </c>
      <c r="K32" s="205">
        <v>1250</v>
      </c>
      <c r="L32" s="205">
        <v>1250</v>
      </c>
      <c r="M32" s="205">
        <v>1250</v>
      </c>
      <c r="N32" s="205">
        <v>1250</v>
      </c>
      <c r="O32" s="187">
        <f t="shared" si="2"/>
        <v>15000</v>
      </c>
    </row>
    <row r="33" spans="1:15">
      <c r="A33" s="3" t="s">
        <v>8</v>
      </c>
      <c r="B33" s="3"/>
      <c r="C33" s="205">
        <f t="shared" ref="C33:I33" si="5">167+86</f>
        <v>253</v>
      </c>
      <c r="D33" s="205">
        <f t="shared" si="5"/>
        <v>253</v>
      </c>
      <c r="E33" s="205">
        <f t="shared" si="5"/>
        <v>253</v>
      </c>
      <c r="F33" s="205">
        <f t="shared" si="5"/>
        <v>253</v>
      </c>
      <c r="G33" s="205">
        <f t="shared" si="5"/>
        <v>253</v>
      </c>
      <c r="H33" s="205">
        <f t="shared" si="5"/>
        <v>253</v>
      </c>
      <c r="I33" s="205">
        <f t="shared" si="5"/>
        <v>253</v>
      </c>
      <c r="J33" s="205">
        <f>167+86</f>
        <v>253</v>
      </c>
      <c r="K33" s="205">
        <f>167+86</f>
        <v>253</v>
      </c>
      <c r="L33" s="205">
        <f>167+86</f>
        <v>253</v>
      </c>
      <c r="M33" s="205">
        <f>167+86</f>
        <v>253</v>
      </c>
      <c r="N33" s="205">
        <f>167+86</f>
        <v>253</v>
      </c>
      <c r="O33" s="187">
        <f t="shared" si="2"/>
        <v>3036</v>
      </c>
    </row>
    <row r="34" spans="1:15">
      <c r="A34" s="3" t="s">
        <v>9</v>
      </c>
      <c r="B34" s="3"/>
      <c r="C34" s="205">
        <v>3863</v>
      </c>
      <c r="D34" s="205">
        <v>3863</v>
      </c>
      <c r="E34" s="205">
        <v>3863</v>
      </c>
      <c r="F34" s="205">
        <v>3863</v>
      </c>
      <c r="G34" s="205">
        <v>3863</v>
      </c>
      <c r="H34" s="205">
        <v>3863</v>
      </c>
      <c r="I34" s="205">
        <v>3863</v>
      </c>
      <c r="J34" s="205">
        <v>3863</v>
      </c>
      <c r="K34" s="205">
        <v>3863</v>
      </c>
      <c r="L34" s="205">
        <v>3863</v>
      </c>
      <c r="M34" s="205">
        <v>3863</v>
      </c>
      <c r="N34" s="205">
        <v>3863</v>
      </c>
      <c r="O34" s="187">
        <f t="shared" si="2"/>
        <v>46356</v>
      </c>
    </row>
    <row r="35" spans="1:15">
      <c r="A35" s="3" t="s">
        <v>10</v>
      </c>
      <c r="B35" s="3"/>
      <c r="C35" s="205">
        <v>333</v>
      </c>
      <c r="D35" s="205">
        <v>333</v>
      </c>
      <c r="E35" s="205">
        <v>333</v>
      </c>
      <c r="F35" s="205">
        <v>333</v>
      </c>
      <c r="G35" s="205">
        <v>333</v>
      </c>
      <c r="H35" s="205">
        <v>333</v>
      </c>
      <c r="I35" s="205">
        <v>333</v>
      </c>
      <c r="J35" s="205">
        <v>333</v>
      </c>
      <c r="K35" s="205">
        <v>333</v>
      </c>
      <c r="L35" s="205">
        <v>333</v>
      </c>
      <c r="M35" s="205">
        <v>333</v>
      </c>
      <c r="N35" s="205">
        <v>333</v>
      </c>
      <c r="O35" s="187">
        <f t="shared" si="2"/>
        <v>3996</v>
      </c>
    </row>
    <row r="36" spans="1:15">
      <c r="A36" s="3" t="s">
        <v>11</v>
      </c>
      <c r="B36" s="3"/>
      <c r="C36" s="205">
        <v>13333</v>
      </c>
      <c r="D36" s="205">
        <v>13333</v>
      </c>
      <c r="E36" s="205">
        <v>13333</v>
      </c>
      <c r="F36" s="205">
        <v>13333</v>
      </c>
      <c r="G36" s="205">
        <v>13333</v>
      </c>
      <c r="H36" s="205">
        <v>13333</v>
      </c>
      <c r="I36" s="205">
        <v>13333</v>
      </c>
      <c r="J36" s="205">
        <v>13333</v>
      </c>
      <c r="K36" s="205">
        <v>13333</v>
      </c>
      <c r="L36" s="205">
        <v>13333</v>
      </c>
      <c r="M36" s="205">
        <v>13333</v>
      </c>
      <c r="N36" s="205">
        <v>13333</v>
      </c>
      <c r="O36" s="187">
        <f t="shared" si="2"/>
        <v>159996</v>
      </c>
    </row>
    <row r="37" spans="1:15">
      <c r="A37" s="3" t="s">
        <v>12</v>
      </c>
      <c r="B37" s="3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187">
        <f t="shared" si="2"/>
        <v>0</v>
      </c>
    </row>
    <row r="38" spans="1:15">
      <c r="A38" s="3" t="s">
        <v>13</v>
      </c>
      <c r="B38" s="3"/>
      <c r="C38" s="205">
        <v>2500</v>
      </c>
      <c r="D38" s="205">
        <v>2500</v>
      </c>
      <c r="E38" s="205">
        <v>2500</v>
      </c>
      <c r="F38" s="205">
        <v>2500</v>
      </c>
      <c r="G38" s="205">
        <v>2500</v>
      </c>
      <c r="H38" s="205">
        <v>2500</v>
      </c>
      <c r="I38" s="205">
        <v>2500</v>
      </c>
      <c r="J38" s="205">
        <v>2500</v>
      </c>
      <c r="K38" s="205">
        <v>2500</v>
      </c>
      <c r="L38" s="205">
        <v>2500</v>
      </c>
      <c r="M38" s="205">
        <v>2500</v>
      </c>
      <c r="N38" s="205">
        <v>2500</v>
      </c>
      <c r="O38" s="187">
        <f t="shared" si="2"/>
        <v>30000</v>
      </c>
    </row>
    <row r="39" spans="1:15">
      <c r="A39" s="191" t="s">
        <v>14</v>
      </c>
      <c r="B39" s="3"/>
      <c r="C39" s="189">
        <f t="shared" ref="C39:I39" si="6">SUM(C32:C38)</f>
        <v>21532</v>
      </c>
      <c r="D39" s="189">
        <f t="shared" si="6"/>
        <v>21532</v>
      </c>
      <c r="E39" s="189">
        <f t="shared" si="6"/>
        <v>21532</v>
      </c>
      <c r="F39" s="189">
        <f t="shared" si="6"/>
        <v>21532</v>
      </c>
      <c r="G39" s="189">
        <f t="shared" si="6"/>
        <v>21532</v>
      </c>
      <c r="H39" s="189">
        <f t="shared" si="6"/>
        <v>21532</v>
      </c>
      <c r="I39" s="189">
        <f t="shared" si="6"/>
        <v>21532</v>
      </c>
      <c r="J39" s="189">
        <f>SUM(J32:J38)</f>
        <v>21532</v>
      </c>
      <c r="K39" s="189">
        <f>SUM(K32:K38)</f>
        <v>21532</v>
      </c>
      <c r="L39" s="189">
        <f>SUM(L32:L38)</f>
        <v>21532</v>
      </c>
      <c r="M39" s="189">
        <f>SUM(M32:M38)</f>
        <v>21532</v>
      </c>
      <c r="N39" s="189">
        <f>SUM(N32:N38)</f>
        <v>21532</v>
      </c>
      <c r="O39" s="189">
        <f t="shared" si="2"/>
        <v>258384</v>
      </c>
    </row>
    <row r="40" spans="1:15">
      <c r="A40" s="3" t="s">
        <v>15</v>
      </c>
      <c r="B40" s="3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187">
        <f t="shared" si="2"/>
        <v>0</v>
      </c>
    </row>
    <row r="41" spans="1:15">
      <c r="A41" s="3" t="s">
        <v>16</v>
      </c>
      <c r="B41" s="3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187">
        <f t="shared" si="2"/>
        <v>0</v>
      </c>
    </row>
    <row r="42" spans="1:15">
      <c r="A42" s="3" t="s">
        <v>17</v>
      </c>
      <c r="B42" s="3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187">
        <f t="shared" si="2"/>
        <v>0</v>
      </c>
    </row>
    <row r="43" spans="1:15">
      <c r="A43" s="3" t="s">
        <v>18</v>
      </c>
      <c r="B43" s="3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187">
        <f t="shared" si="2"/>
        <v>0</v>
      </c>
    </row>
    <row r="44" spans="1:15">
      <c r="A44" s="3" t="s">
        <v>19</v>
      </c>
      <c r="B44" s="3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187">
        <f t="shared" si="2"/>
        <v>0</v>
      </c>
    </row>
    <row r="45" spans="1:15">
      <c r="A45" s="3" t="s">
        <v>20</v>
      </c>
      <c r="B45" s="3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187">
        <f t="shared" si="2"/>
        <v>0</v>
      </c>
    </row>
    <row r="46" spans="1:15">
      <c r="A46" s="191" t="s">
        <v>21</v>
      </c>
      <c r="B46" s="3"/>
      <c r="C46" s="189">
        <f t="shared" ref="C46:I46" si="7">SUM(C40:C45)</f>
        <v>0</v>
      </c>
      <c r="D46" s="189">
        <f t="shared" si="7"/>
        <v>0</v>
      </c>
      <c r="E46" s="189">
        <f t="shared" si="7"/>
        <v>0</v>
      </c>
      <c r="F46" s="189">
        <f t="shared" si="7"/>
        <v>0</v>
      </c>
      <c r="G46" s="189">
        <f t="shared" si="7"/>
        <v>0</v>
      </c>
      <c r="H46" s="189">
        <f t="shared" si="7"/>
        <v>0</v>
      </c>
      <c r="I46" s="189">
        <f t="shared" si="7"/>
        <v>0</v>
      </c>
      <c r="J46" s="189">
        <f>SUM(J40:J45)</f>
        <v>0</v>
      </c>
      <c r="K46" s="189">
        <f>SUM(K40:K45)</f>
        <v>0</v>
      </c>
      <c r="L46" s="189">
        <f>SUM(L40:L45)</f>
        <v>0</v>
      </c>
      <c r="M46" s="189">
        <f>SUM(M40:M45)</f>
        <v>0</v>
      </c>
      <c r="N46" s="189">
        <f>SUM(N40:N45)</f>
        <v>0</v>
      </c>
      <c r="O46" s="189">
        <f t="shared" si="2"/>
        <v>0</v>
      </c>
    </row>
    <row r="47" spans="1:15">
      <c r="A47" s="3" t="s">
        <v>22</v>
      </c>
      <c r="B47" s="3"/>
      <c r="C47" s="205">
        <v>10258</v>
      </c>
      <c r="D47" s="205">
        <v>10258</v>
      </c>
      <c r="E47" s="205">
        <v>10258</v>
      </c>
      <c r="F47" s="205">
        <v>10258</v>
      </c>
      <c r="G47" s="205">
        <v>10258</v>
      </c>
      <c r="H47" s="205">
        <v>10258</v>
      </c>
      <c r="I47" s="205">
        <v>10258</v>
      </c>
      <c r="J47" s="205">
        <v>10258</v>
      </c>
      <c r="K47" s="205">
        <v>10258</v>
      </c>
      <c r="L47" s="205">
        <v>10258</v>
      </c>
      <c r="M47" s="205">
        <v>10258</v>
      </c>
      <c r="N47" s="205">
        <v>10258</v>
      </c>
      <c r="O47" s="187">
        <f t="shared" si="2"/>
        <v>123096</v>
      </c>
    </row>
    <row r="48" spans="1:15">
      <c r="A48" s="3" t="s">
        <v>23</v>
      </c>
      <c r="B48" s="3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187">
        <f t="shared" si="2"/>
        <v>0</v>
      </c>
    </row>
    <row r="49" spans="1:15">
      <c r="A49" s="3" t="s">
        <v>24</v>
      </c>
      <c r="B49" s="3"/>
      <c r="C49" s="205">
        <v>6317</v>
      </c>
      <c r="D49" s="205">
        <v>6317</v>
      </c>
      <c r="E49" s="205">
        <v>6317</v>
      </c>
      <c r="F49" s="205">
        <v>6317</v>
      </c>
      <c r="G49" s="205">
        <v>6317</v>
      </c>
      <c r="H49" s="205">
        <v>6317</v>
      </c>
      <c r="I49" s="205">
        <v>6317</v>
      </c>
      <c r="J49" s="205">
        <v>6317</v>
      </c>
      <c r="K49" s="205">
        <v>6317</v>
      </c>
      <c r="L49" s="205">
        <v>6317</v>
      </c>
      <c r="M49" s="205">
        <v>6317</v>
      </c>
      <c r="N49" s="205">
        <v>6317</v>
      </c>
      <c r="O49" s="187">
        <f t="shared" si="2"/>
        <v>75804</v>
      </c>
    </row>
    <row r="50" spans="1:15">
      <c r="A50" s="191" t="s">
        <v>25</v>
      </c>
      <c r="B50" s="3"/>
      <c r="C50" s="189">
        <f t="shared" ref="C50:I50" si="8">SUM(C47:C49)</f>
        <v>16575</v>
      </c>
      <c r="D50" s="189">
        <f t="shared" si="8"/>
        <v>16575</v>
      </c>
      <c r="E50" s="189">
        <f t="shared" si="8"/>
        <v>16575</v>
      </c>
      <c r="F50" s="189">
        <f t="shared" si="8"/>
        <v>16575</v>
      </c>
      <c r="G50" s="189">
        <f t="shared" si="8"/>
        <v>16575</v>
      </c>
      <c r="H50" s="189">
        <f t="shared" si="8"/>
        <v>16575</v>
      </c>
      <c r="I50" s="189">
        <f t="shared" si="8"/>
        <v>16575</v>
      </c>
      <c r="J50" s="189">
        <f>SUM(J47:J49)</f>
        <v>16575</v>
      </c>
      <c r="K50" s="189">
        <f>SUM(K47:K49)</f>
        <v>16575</v>
      </c>
      <c r="L50" s="189">
        <f>SUM(L47:L49)</f>
        <v>16575</v>
      </c>
      <c r="M50" s="189">
        <f>SUM(M47:M49)</f>
        <v>16575</v>
      </c>
      <c r="N50" s="189">
        <f>SUM(N47:N49)</f>
        <v>16575</v>
      </c>
      <c r="O50" s="189">
        <f t="shared" si="2"/>
        <v>198900</v>
      </c>
    </row>
    <row r="51" spans="1:15">
      <c r="A51" s="3" t="s">
        <v>26</v>
      </c>
      <c r="B51" s="3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187">
        <f t="shared" si="2"/>
        <v>0</v>
      </c>
    </row>
    <row r="52" spans="1:15">
      <c r="A52" s="3" t="s">
        <v>27</v>
      </c>
      <c r="B52" s="3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187">
        <f t="shared" si="2"/>
        <v>0</v>
      </c>
    </row>
    <row r="53" spans="1:15">
      <c r="A53" s="3" t="s">
        <v>28</v>
      </c>
      <c r="B53" s="3"/>
      <c r="C53" s="205">
        <v>7796</v>
      </c>
      <c r="D53" s="205">
        <v>7796</v>
      </c>
      <c r="E53" s="205">
        <v>7796</v>
      </c>
      <c r="F53" s="205">
        <v>7796</v>
      </c>
      <c r="G53" s="205">
        <v>7796</v>
      </c>
      <c r="H53" s="205">
        <v>7796</v>
      </c>
      <c r="I53" s="205">
        <v>7796</v>
      </c>
      <c r="J53" s="205">
        <v>7796</v>
      </c>
      <c r="K53" s="205">
        <v>7796</v>
      </c>
      <c r="L53" s="205">
        <v>7796</v>
      </c>
      <c r="M53" s="205">
        <v>7796</v>
      </c>
      <c r="N53" s="205">
        <v>7796</v>
      </c>
      <c r="O53" s="187">
        <f t="shared" si="2"/>
        <v>93552</v>
      </c>
    </row>
    <row r="54" spans="1:15">
      <c r="A54" s="3" t="s">
        <v>29</v>
      </c>
      <c r="B54" s="3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187">
        <f t="shared" si="2"/>
        <v>0</v>
      </c>
    </row>
    <row r="55" spans="1:15">
      <c r="A55" s="3" t="s">
        <v>30</v>
      </c>
      <c r="B55" s="3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187">
        <f t="shared" si="2"/>
        <v>0</v>
      </c>
    </row>
    <row r="56" spans="1:15">
      <c r="A56" s="3" t="s">
        <v>31</v>
      </c>
      <c r="B56" s="3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187">
        <f t="shared" si="2"/>
        <v>0</v>
      </c>
    </row>
    <row r="57" spans="1:15">
      <c r="A57" s="3" t="s">
        <v>32</v>
      </c>
      <c r="B57" s="3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187">
        <f t="shared" si="2"/>
        <v>0</v>
      </c>
    </row>
    <row r="58" spans="1:15">
      <c r="A58" s="191" t="s">
        <v>33</v>
      </c>
      <c r="B58" s="3"/>
      <c r="C58" s="189">
        <f t="shared" ref="C58:I58" si="9">SUM(C51:C57)</f>
        <v>7796</v>
      </c>
      <c r="D58" s="189">
        <f t="shared" si="9"/>
        <v>7796</v>
      </c>
      <c r="E58" s="189">
        <f t="shared" si="9"/>
        <v>7796</v>
      </c>
      <c r="F58" s="189">
        <f t="shared" si="9"/>
        <v>7796</v>
      </c>
      <c r="G58" s="189">
        <f t="shared" si="9"/>
        <v>7796</v>
      </c>
      <c r="H58" s="189">
        <f t="shared" si="9"/>
        <v>7796</v>
      </c>
      <c r="I58" s="189">
        <f t="shared" si="9"/>
        <v>7796</v>
      </c>
      <c r="J58" s="189">
        <f>SUM(J51:J57)</f>
        <v>7796</v>
      </c>
      <c r="K58" s="189">
        <f>SUM(K51:K57)</f>
        <v>7796</v>
      </c>
      <c r="L58" s="189">
        <f>SUM(L51:L57)</f>
        <v>7796</v>
      </c>
      <c r="M58" s="189">
        <f>SUM(M51:M57)</f>
        <v>7796</v>
      </c>
      <c r="N58" s="189">
        <f>SUM(N51:N57)</f>
        <v>7796</v>
      </c>
      <c r="O58" s="189">
        <f t="shared" si="2"/>
        <v>93552</v>
      </c>
    </row>
    <row r="59" spans="1:15">
      <c r="A59" s="3" t="s">
        <v>34</v>
      </c>
      <c r="B59" s="3"/>
      <c r="C59" s="205">
        <v>3005</v>
      </c>
      <c r="D59" s="205">
        <v>3005</v>
      </c>
      <c r="E59" s="205">
        <v>3005</v>
      </c>
      <c r="F59" s="205">
        <v>3005</v>
      </c>
      <c r="G59" s="205">
        <v>3005</v>
      </c>
      <c r="H59" s="205">
        <v>3005</v>
      </c>
      <c r="I59" s="205">
        <v>3005</v>
      </c>
      <c r="J59" s="205">
        <v>3005</v>
      </c>
      <c r="K59" s="205">
        <v>3005</v>
      </c>
      <c r="L59" s="205">
        <v>3005</v>
      </c>
      <c r="M59" s="205">
        <v>3005</v>
      </c>
      <c r="N59" s="205">
        <v>3005</v>
      </c>
      <c r="O59" s="187">
        <f t="shared" si="2"/>
        <v>36060</v>
      </c>
    </row>
    <row r="60" spans="1:15">
      <c r="A60" s="3" t="s">
        <v>35</v>
      </c>
      <c r="B60" s="3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87">
        <f t="shared" si="2"/>
        <v>0</v>
      </c>
    </row>
    <row r="61" spans="1:15">
      <c r="A61" s="3" t="s">
        <v>36</v>
      </c>
      <c r="B61" s="3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187">
        <f t="shared" si="2"/>
        <v>0</v>
      </c>
    </row>
    <row r="62" spans="1:15">
      <c r="A62" s="3" t="s">
        <v>37</v>
      </c>
      <c r="B62" s="3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187">
        <f t="shared" si="2"/>
        <v>0</v>
      </c>
    </row>
    <row r="63" spans="1:15">
      <c r="A63" s="191" t="s">
        <v>38</v>
      </c>
      <c r="B63" s="3"/>
      <c r="C63" s="189">
        <f t="shared" ref="C63:I63" si="10">SUM(C59:C62)</f>
        <v>3005</v>
      </c>
      <c r="D63" s="189">
        <f t="shared" si="10"/>
        <v>3005</v>
      </c>
      <c r="E63" s="189">
        <f t="shared" si="10"/>
        <v>3005</v>
      </c>
      <c r="F63" s="189">
        <f t="shared" si="10"/>
        <v>3005</v>
      </c>
      <c r="G63" s="189">
        <f t="shared" si="10"/>
        <v>3005</v>
      </c>
      <c r="H63" s="189">
        <f t="shared" si="10"/>
        <v>3005</v>
      </c>
      <c r="I63" s="189">
        <f t="shared" si="10"/>
        <v>3005</v>
      </c>
      <c r="J63" s="189">
        <f>SUM(J59:J62)</f>
        <v>3005</v>
      </c>
      <c r="K63" s="189">
        <f>SUM(K59:K62)</f>
        <v>3005</v>
      </c>
      <c r="L63" s="189">
        <f>SUM(L59:L62)</f>
        <v>3005</v>
      </c>
      <c r="M63" s="189">
        <f>SUM(M59:M62)</f>
        <v>3005</v>
      </c>
      <c r="N63" s="189">
        <f>SUM(N59:N62)</f>
        <v>3005</v>
      </c>
      <c r="O63" s="189">
        <f t="shared" si="2"/>
        <v>36060</v>
      </c>
    </row>
    <row r="64" spans="1:15">
      <c r="A64" s="192" t="s">
        <v>39</v>
      </c>
      <c r="B64" s="3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187">
        <f t="shared" si="2"/>
        <v>0</v>
      </c>
    </row>
    <row r="65" spans="1:15">
      <c r="A65" s="3" t="s">
        <v>40</v>
      </c>
      <c r="B65" s="3"/>
      <c r="C65" s="205">
        <v>172</v>
      </c>
      <c r="D65" s="205">
        <v>172</v>
      </c>
      <c r="E65" s="205">
        <v>172</v>
      </c>
      <c r="F65" s="205">
        <v>172</v>
      </c>
      <c r="G65" s="205">
        <v>172</v>
      </c>
      <c r="H65" s="205">
        <v>172</v>
      </c>
      <c r="I65" s="205">
        <v>172</v>
      </c>
      <c r="J65" s="205">
        <v>172</v>
      </c>
      <c r="K65" s="205">
        <v>172</v>
      </c>
      <c r="L65" s="205">
        <v>172</v>
      </c>
      <c r="M65" s="205">
        <v>172</v>
      </c>
      <c r="N65" s="205">
        <v>172</v>
      </c>
      <c r="O65" s="187">
        <f t="shared" si="2"/>
        <v>2064</v>
      </c>
    </row>
    <row r="66" spans="1:15">
      <c r="A66" s="3" t="s">
        <v>41</v>
      </c>
      <c r="B66" s="3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187">
        <f t="shared" si="2"/>
        <v>0</v>
      </c>
    </row>
    <row r="67" spans="1:15">
      <c r="A67" s="191" t="s">
        <v>42</v>
      </c>
      <c r="B67" s="3"/>
      <c r="C67" s="189">
        <f t="shared" ref="C67:I67" si="11">SUM(C65:C66)</f>
        <v>172</v>
      </c>
      <c r="D67" s="189">
        <f t="shared" si="11"/>
        <v>172</v>
      </c>
      <c r="E67" s="189">
        <f t="shared" si="11"/>
        <v>172</v>
      </c>
      <c r="F67" s="189">
        <f t="shared" si="11"/>
        <v>172</v>
      </c>
      <c r="G67" s="189">
        <f t="shared" si="11"/>
        <v>172</v>
      </c>
      <c r="H67" s="189">
        <f t="shared" si="11"/>
        <v>172</v>
      </c>
      <c r="I67" s="189">
        <f t="shared" si="11"/>
        <v>172</v>
      </c>
      <c r="J67" s="189">
        <f>SUM(J65:J66)</f>
        <v>172</v>
      </c>
      <c r="K67" s="189">
        <f>SUM(K65:K66)</f>
        <v>172</v>
      </c>
      <c r="L67" s="189">
        <f>SUM(L65:L66)</f>
        <v>172</v>
      </c>
      <c r="M67" s="189">
        <f>SUM(M65:M66)</f>
        <v>172</v>
      </c>
      <c r="N67" s="189">
        <f>SUM(N65:N66)</f>
        <v>172</v>
      </c>
      <c r="O67" s="189">
        <f t="shared" si="2"/>
        <v>2064</v>
      </c>
    </row>
    <row r="68" spans="1:15">
      <c r="A68" s="3" t="s">
        <v>43</v>
      </c>
      <c r="C68" s="204">
        <v>6333</v>
      </c>
      <c r="D68" s="204">
        <v>6333</v>
      </c>
      <c r="E68" s="204">
        <v>6333</v>
      </c>
      <c r="F68" s="204">
        <v>6333</v>
      </c>
      <c r="G68" s="204">
        <v>6333</v>
      </c>
      <c r="H68" s="204">
        <v>6333</v>
      </c>
      <c r="I68" s="204">
        <v>6333</v>
      </c>
      <c r="J68" s="204">
        <v>6333</v>
      </c>
      <c r="K68" s="204">
        <v>6333</v>
      </c>
      <c r="L68" s="204">
        <v>6333</v>
      </c>
      <c r="M68" s="204">
        <v>6333</v>
      </c>
      <c r="N68" s="204">
        <v>6333</v>
      </c>
      <c r="O68" s="187">
        <f t="shared" si="2"/>
        <v>75996</v>
      </c>
    </row>
    <row r="69" spans="1:15">
      <c r="A69" s="3" t="s">
        <v>44</v>
      </c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187">
        <f t="shared" si="2"/>
        <v>0</v>
      </c>
    </row>
    <row r="70" spans="1:15">
      <c r="A70" s="3" t="s">
        <v>50</v>
      </c>
      <c r="C70" s="204">
        <v>24704</v>
      </c>
      <c r="D70" s="204">
        <v>24704</v>
      </c>
      <c r="E70" s="204">
        <v>24704</v>
      </c>
      <c r="F70" s="204">
        <v>24704</v>
      </c>
      <c r="G70" s="204">
        <v>24704</v>
      </c>
      <c r="H70" s="204">
        <v>24704</v>
      </c>
      <c r="I70" s="204">
        <v>24704</v>
      </c>
      <c r="J70" s="204">
        <v>24704</v>
      </c>
      <c r="K70" s="204">
        <v>24704</v>
      </c>
      <c r="L70" s="204">
        <v>24704</v>
      </c>
      <c r="M70" s="204">
        <v>24704</v>
      </c>
      <c r="N70" s="204">
        <v>24704</v>
      </c>
      <c r="O70" s="187">
        <f t="shared" si="2"/>
        <v>296448</v>
      </c>
    </row>
    <row r="71" spans="1:15">
      <c r="A71" s="3" t="s">
        <v>51</v>
      </c>
      <c r="C71" s="204">
        <v>16960</v>
      </c>
      <c r="D71" s="204">
        <v>16960</v>
      </c>
      <c r="E71" s="204">
        <v>16960</v>
      </c>
      <c r="F71" s="204">
        <v>16960</v>
      </c>
      <c r="G71" s="204">
        <v>16960</v>
      </c>
      <c r="H71" s="204">
        <v>16960</v>
      </c>
      <c r="I71" s="204">
        <v>16960</v>
      </c>
      <c r="J71" s="204">
        <v>16960</v>
      </c>
      <c r="K71" s="204">
        <v>16960</v>
      </c>
      <c r="L71" s="204">
        <v>16960</v>
      </c>
      <c r="M71" s="204">
        <v>16960</v>
      </c>
      <c r="N71" s="204">
        <v>16960</v>
      </c>
      <c r="O71" s="187">
        <f t="shared" si="2"/>
        <v>203520</v>
      </c>
    </row>
    <row r="72" spans="1:15">
      <c r="A72" s="3" t="s">
        <v>45</v>
      </c>
      <c r="C72" s="204">
        <v>15670</v>
      </c>
      <c r="D72" s="204">
        <v>15670</v>
      </c>
      <c r="E72" s="204">
        <v>15670</v>
      </c>
      <c r="F72" s="204">
        <v>15670</v>
      </c>
      <c r="G72" s="204">
        <v>15670</v>
      </c>
      <c r="H72" s="204">
        <v>15670</v>
      </c>
      <c r="I72" s="204">
        <v>15670</v>
      </c>
      <c r="J72" s="204">
        <v>15670</v>
      </c>
      <c r="K72" s="204">
        <v>15670</v>
      </c>
      <c r="L72" s="204">
        <v>15670</v>
      </c>
      <c r="M72" s="204">
        <v>15670</v>
      </c>
      <c r="N72" s="204">
        <v>15670</v>
      </c>
      <c r="O72" s="187">
        <f t="shared" si="2"/>
        <v>188040</v>
      </c>
    </row>
    <row r="73" spans="1:15">
      <c r="A73" s="191" t="s">
        <v>46</v>
      </c>
      <c r="C73" s="189">
        <f t="shared" ref="C73:I73" si="12">C28+C31+C39+C46+C50+C58+C63+C64+C67+SUM(C68:C72)</f>
        <v>591617</v>
      </c>
      <c r="D73" s="189">
        <f t="shared" si="12"/>
        <v>591617</v>
      </c>
      <c r="E73" s="189">
        <f t="shared" si="12"/>
        <v>591617</v>
      </c>
      <c r="F73" s="189">
        <f t="shared" si="12"/>
        <v>591617</v>
      </c>
      <c r="G73" s="189">
        <f t="shared" si="12"/>
        <v>591617</v>
      </c>
      <c r="H73" s="189">
        <f t="shared" si="12"/>
        <v>591617</v>
      </c>
      <c r="I73" s="189">
        <f t="shared" si="12"/>
        <v>591617</v>
      </c>
      <c r="J73" s="189">
        <f>J28+J31+J39+J46+J50+J58+J63+J64+J67+SUM(J68:J72)</f>
        <v>591617</v>
      </c>
      <c r="K73" s="189">
        <f>K28+K31+K39+K46+K50+K58+K63+K64+K67+SUM(K68:K72)</f>
        <v>577397</v>
      </c>
      <c r="L73" s="189">
        <f>L28+L31+L39+L46+L50+L58+L63+L64+L67+SUM(L68:L72)</f>
        <v>577397</v>
      </c>
      <c r="M73" s="189">
        <f>M28+M31+M39+M46+M50+M58+M63+M64+M67+SUM(M68:M72)</f>
        <v>577397</v>
      </c>
      <c r="N73" s="189">
        <f>N28+N31+N39+N46+N50+N58+N63+N64+N67+SUM(N68:N72)</f>
        <v>577397</v>
      </c>
      <c r="O73" s="189">
        <f t="shared" si="2"/>
        <v>7042524</v>
      </c>
    </row>
    <row r="74" spans="1:15">
      <c r="A74" s="3" t="s">
        <v>47</v>
      </c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187">
        <f t="shared" si="2"/>
        <v>0</v>
      </c>
    </row>
    <row r="75" spans="1:15">
      <c r="A75" s="3" t="s">
        <v>48</v>
      </c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187">
        <f t="shared" si="2"/>
        <v>0</v>
      </c>
    </row>
    <row r="76" spans="1:15">
      <c r="A76" s="191" t="s">
        <v>238</v>
      </c>
      <c r="C76" s="189">
        <f t="shared" ref="C76:I76" si="13">SUM(C74:C75)</f>
        <v>0</v>
      </c>
      <c r="D76" s="189">
        <f t="shared" si="13"/>
        <v>0</v>
      </c>
      <c r="E76" s="189">
        <f t="shared" si="13"/>
        <v>0</v>
      </c>
      <c r="F76" s="189">
        <f t="shared" si="13"/>
        <v>0</v>
      </c>
      <c r="G76" s="189">
        <f t="shared" si="13"/>
        <v>0</v>
      </c>
      <c r="H76" s="189">
        <f t="shared" si="13"/>
        <v>0</v>
      </c>
      <c r="I76" s="189">
        <f t="shared" si="13"/>
        <v>0</v>
      </c>
      <c r="J76" s="189">
        <f>SUM(J74:J75)</f>
        <v>0</v>
      </c>
      <c r="K76" s="189">
        <f>SUM(K74:K75)</f>
        <v>0</v>
      </c>
      <c r="L76" s="189">
        <f>SUM(L74:L75)</f>
        <v>0</v>
      </c>
      <c r="M76" s="189">
        <f>SUM(M74:M75)</f>
        <v>0</v>
      </c>
      <c r="N76" s="189">
        <f>SUM(N74:N75)</f>
        <v>0</v>
      </c>
      <c r="O76" s="189">
        <f t="shared" si="2"/>
        <v>0</v>
      </c>
    </row>
    <row r="77" spans="1:15" ht="12.75" customHeight="1" thickBot="1">
      <c r="A77" s="182" t="s">
        <v>49</v>
      </c>
      <c r="C77" s="193">
        <f t="shared" ref="C77:I77" si="14">C76+C73</f>
        <v>591617</v>
      </c>
      <c r="D77" s="193">
        <f t="shared" si="14"/>
        <v>591617</v>
      </c>
      <c r="E77" s="193">
        <f t="shared" si="14"/>
        <v>591617</v>
      </c>
      <c r="F77" s="193">
        <f t="shared" si="14"/>
        <v>591617</v>
      </c>
      <c r="G77" s="193">
        <f t="shared" si="14"/>
        <v>591617</v>
      </c>
      <c r="H77" s="193">
        <f t="shared" si="14"/>
        <v>591617</v>
      </c>
      <c r="I77" s="193">
        <f t="shared" si="14"/>
        <v>591617</v>
      </c>
      <c r="J77" s="193">
        <f t="shared" ref="J77:O77" si="15">J76+J73</f>
        <v>591617</v>
      </c>
      <c r="K77" s="193">
        <f t="shared" si="15"/>
        <v>577397</v>
      </c>
      <c r="L77" s="193">
        <f t="shared" si="15"/>
        <v>577397</v>
      </c>
      <c r="M77" s="193">
        <f t="shared" si="15"/>
        <v>577397</v>
      </c>
      <c r="N77" s="193">
        <f t="shared" si="15"/>
        <v>577397</v>
      </c>
      <c r="O77" s="193">
        <f t="shared" si="15"/>
        <v>7042524</v>
      </c>
    </row>
    <row r="78" spans="1:15" ht="14.4" thickTop="1">
      <c r="A78" s="192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</row>
    <row r="79" spans="1:15">
      <c r="A79" s="192"/>
    </row>
    <row r="80" spans="1:15">
      <c r="A80" s="206" t="str">
        <f ca="1">CELL("FILENAME")</f>
        <v>O:\Fin_Ops\Finrpt\2001\2001 Plan\O&amp;M Reporting\Budget\Research\[Research 2001 budget as of 0922.xls]Research</v>
      </c>
    </row>
    <row r="81" spans="1:1">
      <c r="A81" s="192"/>
    </row>
    <row r="82" spans="1:1">
      <c r="A82" s="192"/>
    </row>
  </sheetData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"/>
  <sheetViews>
    <sheetView topLeftCell="A61" zoomScale="75" workbookViewId="0">
      <selection activeCell="D75" sqref="D75:O82"/>
    </sheetView>
  </sheetViews>
  <sheetFormatPr defaultColWidth="9.33203125" defaultRowHeight="13.8"/>
  <cols>
    <col min="1" max="1" width="17.77734375" style="1" customWidth="1"/>
    <col min="2" max="2" width="34.77734375" style="1" customWidth="1"/>
    <col min="3" max="3" width="1.77734375" style="1" customWidth="1"/>
    <col min="4" max="16" width="11.77734375" style="1" customWidth="1"/>
    <col min="17" max="16384" width="9.33203125" style="1"/>
  </cols>
  <sheetData>
    <row r="1" spans="1:16" s="5" customFormat="1">
      <c r="C1" s="6" t="s">
        <v>142</v>
      </c>
      <c r="D1" s="2" t="str">
        <f>'[1]0264 input'!C1</f>
        <v>413</v>
      </c>
      <c r="G1" s="7"/>
      <c r="H1" s="7" t="s">
        <v>143</v>
      </c>
      <c r="I1" s="10" t="s">
        <v>144</v>
      </c>
    </row>
    <row r="2" spans="1:16" s="5" customFormat="1">
      <c r="C2" s="6" t="s">
        <v>145</v>
      </c>
      <c r="D2" s="2" t="s">
        <v>146</v>
      </c>
      <c r="G2" s="7"/>
      <c r="H2" s="7" t="s">
        <v>147</v>
      </c>
      <c r="I2" s="5" t="s">
        <v>148</v>
      </c>
      <c r="J2" s="5" t="s">
        <v>149</v>
      </c>
    </row>
    <row r="3" spans="1:16" s="5" customFormat="1">
      <c r="C3" s="6" t="s">
        <v>150</v>
      </c>
      <c r="D3" s="2" t="s">
        <v>151</v>
      </c>
      <c r="G3" s="7"/>
      <c r="H3" s="7" t="s">
        <v>152</v>
      </c>
      <c r="I3" s="5" t="s">
        <v>153</v>
      </c>
    </row>
    <row r="4" spans="1:16" s="5" customFormat="1">
      <c r="C4" s="6" t="s">
        <v>154</v>
      </c>
      <c r="D4" s="2"/>
      <c r="H4" s="7" t="s">
        <v>155</v>
      </c>
      <c r="I4" s="5" t="s">
        <v>156</v>
      </c>
    </row>
    <row r="5" spans="1:16" s="5" customFormat="1">
      <c r="P5" s="172"/>
    </row>
    <row r="6" spans="1:16" s="5" customFormat="1">
      <c r="B6" s="173" t="s">
        <v>97</v>
      </c>
      <c r="C6" s="1"/>
      <c r="D6" s="174">
        <v>36526</v>
      </c>
      <c r="E6" s="175">
        <v>36557</v>
      </c>
      <c r="F6" s="175">
        <v>36586</v>
      </c>
      <c r="G6" s="175">
        <v>36617</v>
      </c>
      <c r="H6" s="175">
        <v>36647</v>
      </c>
      <c r="I6" s="175">
        <v>36678</v>
      </c>
      <c r="J6" s="175">
        <v>36708</v>
      </c>
      <c r="K6" s="175">
        <v>36739</v>
      </c>
      <c r="L6" s="175">
        <v>36770</v>
      </c>
      <c r="M6" s="175">
        <v>36800</v>
      </c>
      <c r="N6" s="175">
        <v>36831</v>
      </c>
      <c r="O6" s="176">
        <v>36861</v>
      </c>
      <c r="P6" s="177"/>
    </row>
    <row r="7" spans="1:16" s="5" customForma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</row>
    <row r="8" spans="1:16" s="5" customFormat="1">
      <c r="A8" s="2" t="s">
        <v>157</v>
      </c>
      <c r="B8" s="1" t="s">
        <v>158</v>
      </c>
      <c r="C8" s="1"/>
      <c r="D8" s="99"/>
      <c r="E8" s="99"/>
      <c r="F8" s="99"/>
      <c r="G8" s="99"/>
      <c r="H8" s="99"/>
      <c r="I8" s="178"/>
      <c r="J8" s="178"/>
      <c r="K8" s="178"/>
      <c r="L8" s="178"/>
      <c r="M8" s="178"/>
      <c r="N8" s="178"/>
      <c r="O8" s="178"/>
      <c r="P8" s="8"/>
    </row>
    <row r="9" spans="1:16" s="5" customFormat="1">
      <c r="A9" s="2" t="s">
        <v>159</v>
      </c>
      <c r="B9" s="1" t="s">
        <v>160</v>
      </c>
      <c r="C9" s="1"/>
      <c r="D9" s="99"/>
      <c r="E9" s="99"/>
      <c r="F9" s="99"/>
      <c r="G9" s="99"/>
      <c r="H9" s="99"/>
      <c r="I9" s="178"/>
      <c r="J9" s="178"/>
      <c r="K9" s="178"/>
      <c r="L9" s="178"/>
      <c r="M9" s="178"/>
      <c r="N9" s="178"/>
      <c r="O9" s="178"/>
      <c r="P9" s="8"/>
    </row>
    <row r="10" spans="1:16" s="5" customFormat="1">
      <c r="A10" s="2" t="s">
        <v>161</v>
      </c>
      <c r="B10" s="1" t="s">
        <v>162</v>
      </c>
      <c r="C10" s="1"/>
      <c r="D10" s="99"/>
      <c r="E10" s="99"/>
      <c r="F10" s="99"/>
      <c r="G10" s="99"/>
      <c r="H10" s="99"/>
      <c r="I10" s="178"/>
      <c r="J10" s="178"/>
      <c r="K10" s="178"/>
      <c r="L10" s="178"/>
      <c r="M10" s="178"/>
      <c r="N10" s="178"/>
      <c r="O10" s="178"/>
      <c r="P10" s="8"/>
    </row>
    <row r="11" spans="1:16" s="5" customFormat="1">
      <c r="A11" s="179" t="s">
        <v>163</v>
      </c>
      <c r="B11" s="1" t="s">
        <v>164</v>
      </c>
      <c r="C11" s="1"/>
      <c r="D11" s="99"/>
      <c r="E11" s="99"/>
      <c r="F11" s="99"/>
      <c r="G11" s="99"/>
      <c r="H11" s="99"/>
      <c r="I11" s="178"/>
      <c r="J11" s="178"/>
      <c r="K11" s="178"/>
      <c r="L11" s="99"/>
      <c r="M11" s="99"/>
      <c r="N11" s="99"/>
      <c r="O11" s="99"/>
      <c r="P11" s="8"/>
    </row>
    <row r="12" spans="1:16" s="5" customFormat="1">
      <c r="A12" s="179" t="s">
        <v>165</v>
      </c>
      <c r="B12" s="1" t="s">
        <v>166</v>
      </c>
      <c r="C12" s="1"/>
      <c r="D12" s="99"/>
      <c r="E12" s="99"/>
      <c r="F12" s="99"/>
      <c r="G12" s="99"/>
      <c r="H12" s="99"/>
      <c r="I12" s="178"/>
      <c r="J12" s="178"/>
      <c r="K12" s="178"/>
      <c r="L12" s="99"/>
      <c r="M12" s="99"/>
      <c r="N12" s="99"/>
      <c r="O12" s="99"/>
      <c r="P12" s="8"/>
    </row>
    <row r="13" spans="1:16" s="5" customFormat="1">
      <c r="A13" s="179" t="s">
        <v>167</v>
      </c>
      <c r="B13" s="1" t="s">
        <v>168</v>
      </c>
      <c r="C13" s="1"/>
      <c r="D13" s="99"/>
      <c r="E13" s="99"/>
      <c r="F13" s="99"/>
      <c r="G13" s="99"/>
      <c r="H13" s="99"/>
      <c r="I13" s="178"/>
      <c r="J13" s="178"/>
      <c r="K13" s="178"/>
      <c r="L13" s="99"/>
      <c r="M13" s="99"/>
      <c r="N13" s="99"/>
      <c r="O13" s="99"/>
      <c r="P13" s="8"/>
    </row>
    <row r="14" spans="1:16" s="5" customFormat="1">
      <c r="A14" s="179" t="s">
        <v>169</v>
      </c>
      <c r="B14" s="1" t="s">
        <v>170</v>
      </c>
      <c r="C14" s="1"/>
      <c r="D14" s="99"/>
      <c r="E14" s="99"/>
      <c r="F14" s="99"/>
      <c r="G14" s="99"/>
      <c r="H14" s="99"/>
      <c r="I14" s="178"/>
      <c r="J14" s="178"/>
      <c r="K14" s="178"/>
      <c r="L14" s="99"/>
      <c r="M14" s="99"/>
      <c r="N14" s="99"/>
      <c r="O14" s="99"/>
      <c r="P14" s="8"/>
    </row>
    <row r="15" spans="1:16" s="5" customFormat="1">
      <c r="A15" s="2" t="s">
        <v>171</v>
      </c>
      <c r="B15" s="1" t="s">
        <v>172</v>
      </c>
      <c r="C15" s="1"/>
      <c r="D15" s="99"/>
      <c r="E15" s="99"/>
      <c r="F15" s="99"/>
      <c r="G15" s="99"/>
      <c r="H15" s="99"/>
      <c r="I15" s="178"/>
      <c r="J15" s="178"/>
      <c r="K15" s="178"/>
      <c r="L15" s="99"/>
      <c r="M15" s="99"/>
      <c r="N15" s="99"/>
      <c r="O15" s="99"/>
      <c r="P15" s="8"/>
    </row>
    <row r="16" spans="1:16" s="5" customFormat="1">
      <c r="A16" s="179" t="s">
        <v>173</v>
      </c>
      <c r="B16" s="1" t="s">
        <v>174</v>
      </c>
      <c r="C16" s="1"/>
      <c r="D16" s="99"/>
      <c r="E16" s="99"/>
      <c r="F16" s="99"/>
      <c r="G16" s="99"/>
      <c r="H16" s="99"/>
      <c r="I16" s="178"/>
      <c r="J16" s="178"/>
      <c r="K16" s="178"/>
      <c r="L16" s="99"/>
      <c r="M16" s="99"/>
      <c r="N16" s="99"/>
      <c r="O16" s="99"/>
      <c r="P16" s="8"/>
    </row>
    <row r="17" spans="1:22" s="5" customFormat="1">
      <c r="A17" s="2" t="s">
        <v>175</v>
      </c>
      <c r="B17" s="1" t="s">
        <v>176</v>
      </c>
      <c r="C17" s="1"/>
      <c r="D17" s="99"/>
      <c r="E17" s="99"/>
      <c r="F17" s="99"/>
      <c r="G17" s="99"/>
      <c r="H17" s="99"/>
      <c r="I17" s="178"/>
      <c r="J17" s="178"/>
      <c r="K17" s="178"/>
      <c r="L17" s="99"/>
      <c r="M17" s="99"/>
      <c r="N17" s="99"/>
      <c r="O17" s="99"/>
      <c r="P17" s="8"/>
    </row>
    <row r="18" spans="1:22" s="5" customFormat="1">
      <c r="A18" s="2" t="s">
        <v>177</v>
      </c>
      <c r="B18" s="1" t="s">
        <v>178</v>
      </c>
      <c r="C18" s="1"/>
      <c r="D18" s="30"/>
      <c r="E18" s="30"/>
      <c r="F18" s="30"/>
      <c r="G18" s="30"/>
      <c r="H18" s="30"/>
      <c r="I18" s="178"/>
      <c r="J18" s="178"/>
      <c r="K18" s="178"/>
      <c r="L18" s="99"/>
      <c r="M18" s="99"/>
      <c r="N18" s="99"/>
      <c r="O18" s="99"/>
      <c r="P18" s="8"/>
    </row>
    <row r="19" spans="1:22" s="5" customFormat="1">
      <c r="A19" s="2"/>
      <c r="B19" s="180" t="s">
        <v>179</v>
      </c>
      <c r="C19" s="1"/>
      <c r="D19" s="181">
        <f t="shared" ref="D19:O19" si="0">SUM(D8:D18)</f>
        <v>0</v>
      </c>
      <c r="E19" s="181">
        <f t="shared" si="0"/>
        <v>0</v>
      </c>
      <c r="F19" s="181">
        <f t="shared" si="0"/>
        <v>0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0</v>
      </c>
      <c r="K19" s="181">
        <f t="shared" si="0"/>
        <v>0</v>
      </c>
      <c r="L19" s="181">
        <f t="shared" si="0"/>
        <v>0</v>
      </c>
      <c r="M19" s="181">
        <f t="shared" si="0"/>
        <v>0</v>
      </c>
      <c r="N19" s="181">
        <f t="shared" si="0"/>
        <v>0</v>
      </c>
      <c r="O19" s="181">
        <f t="shared" si="0"/>
        <v>0</v>
      </c>
      <c r="P19" s="8"/>
    </row>
    <row r="20" spans="1:22" s="5" customFormat="1">
      <c r="A20" s="2" t="s">
        <v>180</v>
      </c>
      <c r="B20" s="2" t="s">
        <v>181</v>
      </c>
      <c r="C20" s="1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8"/>
    </row>
    <row r="21" spans="1:22" s="5" customFormat="1" ht="14.4" thickBot="1">
      <c r="B21" s="182" t="s">
        <v>112</v>
      </c>
      <c r="C21" s="1"/>
      <c r="D21" s="183">
        <f t="shared" ref="D21:O21" si="1">D19+D20</f>
        <v>0</v>
      </c>
      <c r="E21" s="183">
        <f t="shared" si="1"/>
        <v>0</v>
      </c>
      <c r="F21" s="183">
        <f t="shared" si="1"/>
        <v>0</v>
      </c>
      <c r="G21" s="183">
        <f t="shared" si="1"/>
        <v>0</v>
      </c>
      <c r="H21" s="183">
        <f t="shared" si="1"/>
        <v>0</v>
      </c>
      <c r="I21" s="183">
        <f t="shared" si="1"/>
        <v>0</v>
      </c>
      <c r="J21" s="183">
        <f t="shared" si="1"/>
        <v>0</v>
      </c>
      <c r="K21" s="183">
        <f t="shared" si="1"/>
        <v>0</v>
      </c>
      <c r="L21" s="183">
        <f t="shared" si="1"/>
        <v>0</v>
      </c>
      <c r="M21" s="183">
        <f t="shared" si="1"/>
        <v>0</v>
      </c>
      <c r="N21" s="183">
        <f t="shared" si="1"/>
        <v>0</v>
      </c>
      <c r="O21" s="183">
        <f t="shared" si="1"/>
        <v>0</v>
      </c>
      <c r="P21" s="184"/>
    </row>
    <row r="22" spans="1:22" s="5" customFormat="1" ht="14.4" thickTop="1"/>
    <row r="23" spans="1:22">
      <c r="D23" s="1" t="s">
        <v>182</v>
      </c>
      <c r="E23" s="1" t="s">
        <v>182</v>
      </c>
      <c r="F23" s="1" t="s">
        <v>182</v>
      </c>
      <c r="G23" s="1" t="s">
        <v>182</v>
      </c>
      <c r="H23" s="1" t="s">
        <v>182</v>
      </c>
      <c r="I23" s="1" t="s">
        <v>182</v>
      </c>
      <c r="J23" s="1" t="s">
        <v>182</v>
      </c>
      <c r="K23" s="1" t="s">
        <v>182</v>
      </c>
      <c r="L23" s="1" t="s">
        <v>183</v>
      </c>
      <c r="M23" s="1" t="s">
        <v>183</v>
      </c>
      <c r="N23" s="1" t="s">
        <v>183</v>
      </c>
      <c r="O23" s="1" t="s">
        <v>183</v>
      </c>
    </row>
    <row r="24" spans="1:22">
      <c r="A24" s="173" t="s">
        <v>184</v>
      </c>
      <c r="B24" s="173" t="s">
        <v>0</v>
      </c>
      <c r="D24" s="174">
        <v>36526</v>
      </c>
      <c r="E24" s="174">
        <v>36557</v>
      </c>
      <c r="F24" s="174">
        <v>36586</v>
      </c>
      <c r="G24" s="174">
        <v>36617</v>
      </c>
      <c r="H24" s="174">
        <v>36647</v>
      </c>
      <c r="I24" s="174">
        <v>36678</v>
      </c>
      <c r="J24" s="174">
        <v>36708</v>
      </c>
      <c r="K24" s="174">
        <v>36739</v>
      </c>
      <c r="L24" s="174">
        <v>36770</v>
      </c>
      <c r="M24" s="174">
        <v>36800</v>
      </c>
      <c r="N24" s="174">
        <v>36831</v>
      </c>
      <c r="O24" s="174">
        <v>36861</v>
      </c>
      <c r="P24" s="176" t="s">
        <v>185</v>
      </c>
      <c r="Q24" s="185"/>
      <c r="R24" s="185"/>
      <c r="S24" s="185"/>
      <c r="T24" s="185"/>
      <c r="U24" s="185"/>
      <c r="V24" s="185"/>
    </row>
    <row r="25" spans="1:22"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7">
        <f t="shared" ref="P25:P86" si="2">SUM(D25:O25)</f>
        <v>0</v>
      </c>
      <c r="Q25" s="185"/>
      <c r="R25" s="185"/>
      <c r="S25" s="185"/>
      <c r="T25" s="185"/>
      <c r="U25" s="185"/>
      <c r="V25" s="185"/>
    </row>
    <row r="26" spans="1:22">
      <c r="A26" s="186" t="s">
        <v>186</v>
      </c>
      <c r="B26" s="1" t="s">
        <v>1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87">
        <f t="shared" si="2"/>
        <v>0</v>
      </c>
    </row>
    <row r="27" spans="1:22">
      <c r="A27" s="188" t="s">
        <v>187</v>
      </c>
      <c r="B27" s="1" t="s">
        <v>2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87">
        <f t="shared" si="2"/>
        <v>0</v>
      </c>
    </row>
    <row r="28" spans="1:22">
      <c r="B28" s="180" t="s">
        <v>3</v>
      </c>
      <c r="C28" s="3"/>
      <c r="D28" s="189">
        <f t="shared" ref="D28:O28" si="3">SUM(D26:D27)</f>
        <v>0</v>
      </c>
      <c r="E28" s="189">
        <f t="shared" si="3"/>
        <v>0</v>
      </c>
      <c r="F28" s="189">
        <f t="shared" si="3"/>
        <v>0</v>
      </c>
      <c r="G28" s="189">
        <f t="shared" si="3"/>
        <v>0</v>
      </c>
      <c r="H28" s="189">
        <f t="shared" si="3"/>
        <v>0</v>
      </c>
      <c r="I28" s="189">
        <f t="shared" si="3"/>
        <v>0</v>
      </c>
      <c r="J28" s="189">
        <f t="shared" si="3"/>
        <v>0</v>
      </c>
      <c r="K28" s="189">
        <f t="shared" si="3"/>
        <v>0</v>
      </c>
      <c r="L28" s="189">
        <f t="shared" si="3"/>
        <v>0</v>
      </c>
      <c r="M28" s="189">
        <f t="shared" si="3"/>
        <v>0</v>
      </c>
      <c r="N28" s="189">
        <f t="shared" si="3"/>
        <v>0</v>
      </c>
      <c r="O28" s="189">
        <f t="shared" si="3"/>
        <v>0</v>
      </c>
      <c r="P28" s="189">
        <f t="shared" si="2"/>
        <v>0</v>
      </c>
    </row>
    <row r="29" spans="1:22">
      <c r="A29" s="186" t="s">
        <v>188</v>
      </c>
      <c r="B29" s="190" t="s">
        <v>4</v>
      </c>
      <c r="C29" s="3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87">
        <f t="shared" si="2"/>
        <v>0</v>
      </c>
    </row>
    <row r="30" spans="1:22">
      <c r="A30" s="186" t="s">
        <v>189</v>
      </c>
      <c r="B30" s="190"/>
      <c r="C30" s="3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87">
        <f t="shared" si="2"/>
        <v>0</v>
      </c>
    </row>
    <row r="31" spans="1:22">
      <c r="A31" s="186" t="s">
        <v>190</v>
      </c>
      <c r="B31" s="190"/>
      <c r="C31" s="3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87">
        <f t="shared" si="2"/>
        <v>0</v>
      </c>
    </row>
    <row r="32" spans="1:22">
      <c r="A32" s="186" t="s">
        <v>191</v>
      </c>
      <c r="B32" s="190"/>
      <c r="C32" s="3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87">
        <f>SUM(D32:O32)</f>
        <v>0</v>
      </c>
    </row>
    <row r="33" spans="1:16">
      <c r="A33" s="186" t="s">
        <v>192</v>
      </c>
      <c r="B33" s="3" t="s">
        <v>5</v>
      </c>
      <c r="C33" s="3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87">
        <f t="shared" si="2"/>
        <v>0</v>
      </c>
    </row>
    <row r="34" spans="1:16">
      <c r="B34" s="191" t="s">
        <v>6</v>
      </c>
      <c r="C34" s="3"/>
      <c r="D34" s="189">
        <f t="shared" ref="D34:O34" si="4">SUM(D29:D33)</f>
        <v>0</v>
      </c>
      <c r="E34" s="189">
        <f t="shared" si="4"/>
        <v>0</v>
      </c>
      <c r="F34" s="189">
        <f t="shared" si="4"/>
        <v>0</v>
      </c>
      <c r="G34" s="189">
        <f t="shared" si="4"/>
        <v>0</v>
      </c>
      <c r="H34" s="189">
        <f t="shared" si="4"/>
        <v>0</v>
      </c>
      <c r="I34" s="189">
        <f t="shared" si="4"/>
        <v>0</v>
      </c>
      <c r="J34" s="189">
        <f t="shared" si="4"/>
        <v>0</v>
      </c>
      <c r="K34" s="189">
        <f t="shared" si="4"/>
        <v>0</v>
      </c>
      <c r="L34" s="189">
        <f t="shared" si="4"/>
        <v>0</v>
      </c>
      <c r="M34" s="189">
        <f t="shared" si="4"/>
        <v>0</v>
      </c>
      <c r="N34" s="189">
        <f t="shared" si="4"/>
        <v>0</v>
      </c>
      <c r="O34" s="189">
        <f t="shared" si="4"/>
        <v>0</v>
      </c>
      <c r="P34" s="189">
        <f t="shared" si="2"/>
        <v>0</v>
      </c>
    </row>
    <row r="35" spans="1:16">
      <c r="A35" s="186" t="s">
        <v>193</v>
      </c>
      <c r="B35" s="3" t="s">
        <v>7</v>
      </c>
      <c r="C35" s="3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87">
        <f t="shared" si="2"/>
        <v>0</v>
      </c>
    </row>
    <row r="36" spans="1:16">
      <c r="A36" s="186" t="s">
        <v>194</v>
      </c>
      <c r="B36" s="3"/>
      <c r="C36" s="3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87">
        <f t="shared" si="2"/>
        <v>0</v>
      </c>
    </row>
    <row r="37" spans="1:16">
      <c r="A37" s="186" t="s">
        <v>195</v>
      </c>
      <c r="B37" s="3" t="s">
        <v>8</v>
      </c>
      <c r="C37" s="3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87">
        <f t="shared" si="2"/>
        <v>0</v>
      </c>
    </row>
    <row r="38" spans="1:16">
      <c r="A38" s="186" t="s">
        <v>196</v>
      </c>
      <c r="B38" s="3" t="s">
        <v>9</v>
      </c>
      <c r="C38" s="3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87">
        <f t="shared" si="2"/>
        <v>0</v>
      </c>
    </row>
    <row r="39" spans="1:16">
      <c r="A39" s="186" t="s">
        <v>197</v>
      </c>
      <c r="B39" s="3" t="s">
        <v>10</v>
      </c>
      <c r="C39" s="3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87">
        <f t="shared" si="2"/>
        <v>0</v>
      </c>
    </row>
    <row r="40" spans="1:16">
      <c r="A40" s="186" t="s">
        <v>198</v>
      </c>
      <c r="B40" s="3" t="s">
        <v>11</v>
      </c>
      <c r="C40" s="3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87">
        <f t="shared" si="2"/>
        <v>0</v>
      </c>
    </row>
    <row r="41" spans="1:16">
      <c r="A41" s="186" t="s">
        <v>199</v>
      </c>
      <c r="B41" s="3" t="s">
        <v>12</v>
      </c>
      <c r="C41" s="3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87">
        <f t="shared" si="2"/>
        <v>0</v>
      </c>
    </row>
    <row r="42" spans="1:16">
      <c r="A42" s="186" t="s">
        <v>200</v>
      </c>
      <c r="B42" s="3" t="s">
        <v>13</v>
      </c>
      <c r="C42" s="3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87">
        <f t="shared" si="2"/>
        <v>0</v>
      </c>
    </row>
    <row r="43" spans="1:16">
      <c r="B43" s="191" t="s">
        <v>14</v>
      </c>
      <c r="C43" s="3"/>
      <c r="D43" s="189">
        <f t="shared" ref="D43:O43" si="5">SUM(D35:D42)</f>
        <v>0</v>
      </c>
      <c r="E43" s="189">
        <f t="shared" si="5"/>
        <v>0</v>
      </c>
      <c r="F43" s="189">
        <f t="shared" si="5"/>
        <v>0</v>
      </c>
      <c r="G43" s="189">
        <f t="shared" si="5"/>
        <v>0</v>
      </c>
      <c r="H43" s="189">
        <f t="shared" si="5"/>
        <v>0</v>
      </c>
      <c r="I43" s="189">
        <f t="shared" si="5"/>
        <v>0</v>
      </c>
      <c r="J43" s="189">
        <f t="shared" si="5"/>
        <v>0</v>
      </c>
      <c r="K43" s="189">
        <f t="shared" si="5"/>
        <v>0</v>
      </c>
      <c r="L43" s="189">
        <f t="shared" si="5"/>
        <v>0</v>
      </c>
      <c r="M43" s="189">
        <f t="shared" si="5"/>
        <v>0</v>
      </c>
      <c r="N43" s="189">
        <f t="shared" si="5"/>
        <v>0</v>
      </c>
      <c r="O43" s="189">
        <f t="shared" si="5"/>
        <v>0</v>
      </c>
      <c r="P43" s="189">
        <f t="shared" si="2"/>
        <v>0</v>
      </c>
    </row>
    <row r="44" spans="1:16">
      <c r="A44" s="186" t="s">
        <v>201</v>
      </c>
      <c r="B44" s="3" t="s">
        <v>15</v>
      </c>
      <c r="C44" s="3"/>
      <c r="D44" s="178">
        <f>_xll.HPVAL($I$1,$I$2,$A44,D$24,$I$3,$I$4)</f>
        <v>0</v>
      </c>
      <c r="E44" s="178">
        <f>_xll.HPVAL($I$1,$I$2,$A44,E$24,$I$3,$I$4)</f>
        <v>0</v>
      </c>
      <c r="F44" s="178">
        <f>_xll.HPVAL($I$1,$I$2,$A44,F$24,$I$3,$I$4)</f>
        <v>0</v>
      </c>
      <c r="G44" s="178">
        <f>_xll.HPVAL($I$1,$I$2,$A44,G$24,$I$3,$I$4)</f>
        <v>0</v>
      </c>
      <c r="H44" s="178">
        <f>_xll.HPVAL($I$1,$I$2,$A44,H$24,$I$3,$I$4)</f>
        <v>0</v>
      </c>
      <c r="I44" s="178">
        <f>_xll.HPVAL($I$1,$I$2,$A44,I$24,$I$3,$I$4)</f>
        <v>0</v>
      </c>
      <c r="J44" s="178"/>
      <c r="K44" s="178"/>
      <c r="L44" s="178">
        <f>_xll.HPVAL($I$1,$J$2,$A44,L$24,$I$3,$I$4)</f>
        <v>0</v>
      </c>
      <c r="M44" s="178">
        <f>_xll.HPVAL($I$1,$J$2,$A44,M$24,$I$3,$I$4)</f>
        <v>0</v>
      </c>
      <c r="N44" s="178">
        <f>_xll.HPVAL($I$1,$J$2,$A44,N$24,$I$3,$I$4)</f>
        <v>0</v>
      </c>
      <c r="O44" s="178">
        <f>_xll.HPVAL($I$1,$J$2,$A44,O$24,$I$3,$I$4)</f>
        <v>0</v>
      </c>
      <c r="P44" s="187">
        <f t="shared" si="2"/>
        <v>0</v>
      </c>
    </row>
    <row r="45" spans="1:16">
      <c r="A45" s="186" t="s">
        <v>202</v>
      </c>
      <c r="B45" s="3" t="s">
        <v>16</v>
      </c>
      <c r="C45" s="3"/>
      <c r="D45" s="178">
        <f>_xll.HPVAL($I$1,$I$2,$A45,D$24,$I$3,$I$4)</f>
        <v>0</v>
      </c>
      <c r="E45" s="178">
        <f>_xll.HPVAL($I$1,$I$2,$A45,E$24,$I$3,$I$4)</f>
        <v>0</v>
      </c>
      <c r="F45" s="178">
        <f>_xll.HPVAL($I$1,$I$2,$A45,F$24,$I$3,$I$4)</f>
        <v>0</v>
      </c>
      <c r="G45" s="178">
        <f>_xll.HPVAL($I$1,$I$2,$A45,G$24,$I$3,$I$4)</f>
        <v>0</v>
      </c>
      <c r="H45" s="178">
        <f>_xll.HPVAL($I$1,$I$2,$A45,H$24,$I$3,$I$4)</f>
        <v>0</v>
      </c>
      <c r="I45" s="178">
        <f>_xll.HPVAL($I$1,$I$2,$A45,I$24,$I$3,$I$4)</f>
        <v>0</v>
      </c>
      <c r="J45" s="178"/>
      <c r="K45" s="178"/>
      <c r="L45" s="178">
        <f>_xll.HPVAL($I$1,$J$2,$A45,L$24,$I$3,$I$4)</f>
        <v>0</v>
      </c>
      <c r="M45" s="178">
        <f>_xll.HPVAL($I$1,$J$2,$A45,M$24,$I$3,$I$4)</f>
        <v>0</v>
      </c>
      <c r="N45" s="178">
        <f>_xll.HPVAL($I$1,$J$2,$A45,N$24,$I$3,$I$4)</f>
        <v>0</v>
      </c>
      <c r="O45" s="178">
        <f>_xll.HPVAL($I$1,$J$2,$A45,O$24,$I$3,$I$4)</f>
        <v>0</v>
      </c>
      <c r="P45" s="187">
        <f t="shared" si="2"/>
        <v>0</v>
      </c>
    </row>
    <row r="46" spans="1:16">
      <c r="A46" s="186" t="s">
        <v>203</v>
      </c>
      <c r="B46" s="3" t="s">
        <v>17</v>
      </c>
      <c r="C46" s="3"/>
      <c r="D46" s="178">
        <f>_xll.HPVAL($I$1,$I$2,$A46,D$24,$I$3,$I$4)</f>
        <v>0</v>
      </c>
      <c r="E46" s="178">
        <f>_xll.HPVAL($I$1,$I$2,$A46,E$24,$I$3,$I$4)</f>
        <v>0</v>
      </c>
      <c r="F46" s="178">
        <f>_xll.HPVAL($I$1,$I$2,$A46,F$24,$I$3,$I$4)</f>
        <v>0</v>
      </c>
      <c r="G46" s="178">
        <f>_xll.HPVAL($I$1,$I$2,$A46,G$24,$I$3,$I$4)</f>
        <v>0</v>
      </c>
      <c r="H46" s="178">
        <f>_xll.HPVAL($I$1,$I$2,$A46,H$24,$I$3,$I$4)</f>
        <v>0</v>
      </c>
      <c r="I46" s="178">
        <f>_xll.HPVAL($I$1,$I$2,$A46,I$24,$I$3,$I$4)</f>
        <v>0</v>
      </c>
      <c r="J46" s="178"/>
      <c r="K46" s="178"/>
      <c r="L46" s="178">
        <f>_xll.HPVAL($I$1,$J$2,$A46,L$24,$I$3,$I$4)</f>
        <v>0</v>
      </c>
      <c r="M46" s="178">
        <f>_xll.HPVAL($I$1,$J$2,$A46,M$24,$I$3,$I$4)</f>
        <v>0</v>
      </c>
      <c r="N46" s="178">
        <f>_xll.HPVAL($I$1,$J$2,$A46,N$24,$I$3,$I$4)</f>
        <v>0</v>
      </c>
      <c r="O46" s="178">
        <f>_xll.HPVAL($I$1,$J$2,$A46,O$24,$I$3,$I$4)</f>
        <v>0</v>
      </c>
      <c r="P46" s="187">
        <f t="shared" si="2"/>
        <v>0</v>
      </c>
    </row>
    <row r="47" spans="1:16">
      <c r="A47" s="186" t="s">
        <v>204</v>
      </c>
      <c r="B47" s="3" t="s">
        <v>18</v>
      </c>
      <c r="C47" s="3"/>
      <c r="D47" s="178">
        <f>_xll.HPVAL($I$1,$I$2,$A47,D$24,$I$3,$I$4)</f>
        <v>0</v>
      </c>
      <c r="E47" s="178">
        <f>_xll.HPVAL($I$1,$I$2,$A47,E$24,$I$3,$I$4)</f>
        <v>0</v>
      </c>
      <c r="F47" s="178">
        <f>_xll.HPVAL($I$1,$I$2,$A47,F$24,$I$3,$I$4)</f>
        <v>0</v>
      </c>
      <c r="G47" s="178">
        <f>_xll.HPVAL($I$1,$I$2,$A47,G$24,$I$3,$I$4)</f>
        <v>0</v>
      </c>
      <c r="H47" s="178">
        <f>_xll.HPVAL($I$1,$I$2,$A47,H$24,$I$3,$I$4)</f>
        <v>0</v>
      </c>
      <c r="I47" s="178">
        <f>_xll.HPVAL($I$1,$I$2,$A47,I$24,$I$3,$I$4)</f>
        <v>0</v>
      </c>
      <c r="J47" s="178"/>
      <c r="K47" s="178"/>
      <c r="L47" s="178">
        <f>_xll.HPVAL($I$1,$J$2,$A47,L$24,$I$3,$I$4)</f>
        <v>0</v>
      </c>
      <c r="M47" s="178">
        <f>_xll.HPVAL($I$1,$J$2,$A47,M$24,$I$3,$I$4)</f>
        <v>0</v>
      </c>
      <c r="N47" s="178">
        <f>_xll.HPVAL($I$1,$J$2,$A47,N$24,$I$3,$I$4)</f>
        <v>0</v>
      </c>
      <c r="O47" s="178">
        <f>_xll.HPVAL($I$1,$J$2,$A47,O$24,$I$3,$I$4)</f>
        <v>0</v>
      </c>
      <c r="P47" s="187">
        <f t="shared" si="2"/>
        <v>0</v>
      </c>
    </row>
    <row r="48" spans="1:16">
      <c r="A48" s="186" t="s">
        <v>205</v>
      </c>
      <c r="B48" s="3" t="s">
        <v>19</v>
      </c>
      <c r="C48" s="3"/>
      <c r="D48" s="178">
        <f>_xll.HPVAL($I$1,$I$2,$A48,D$24,$I$3,$I$4)</f>
        <v>0</v>
      </c>
      <c r="E48" s="178">
        <f>_xll.HPVAL($I$1,$I$2,$A48,E$24,$I$3,$I$4)</f>
        <v>0</v>
      </c>
      <c r="F48" s="178">
        <f>_xll.HPVAL($I$1,$I$2,$A48,F$24,$I$3,$I$4)</f>
        <v>0</v>
      </c>
      <c r="G48" s="178">
        <f>_xll.HPVAL($I$1,$I$2,$A48,G$24,$I$3,$I$4)</f>
        <v>0</v>
      </c>
      <c r="H48" s="178">
        <f>_xll.HPVAL($I$1,$I$2,$A48,H$24,$I$3,$I$4)</f>
        <v>0</v>
      </c>
      <c r="I48" s="178">
        <f>_xll.HPVAL($I$1,$I$2,$A48,I$24,$I$3,$I$4)</f>
        <v>0</v>
      </c>
      <c r="J48" s="178"/>
      <c r="K48" s="178"/>
      <c r="L48" s="178">
        <f>_xll.HPVAL($I$1,$J$2,$A48,L$24,$I$3,$I$4)</f>
        <v>0</v>
      </c>
      <c r="M48" s="178">
        <f>_xll.HPVAL($I$1,$J$2,$A48,M$24,$I$3,$I$4)</f>
        <v>0</v>
      </c>
      <c r="N48" s="178">
        <f>_xll.HPVAL($I$1,$J$2,$A48,N$24,$I$3,$I$4)</f>
        <v>0</v>
      </c>
      <c r="O48" s="178">
        <f>_xll.HPVAL($I$1,$J$2,$A48,O$24,$I$3,$I$4)</f>
        <v>0</v>
      </c>
      <c r="P48" s="187">
        <f t="shared" si="2"/>
        <v>0</v>
      </c>
    </row>
    <row r="49" spans="1:16">
      <c r="A49" s="186" t="s">
        <v>206</v>
      </c>
      <c r="B49" s="3" t="s">
        <v>20</v>
      </c>
      <c r="C49" s="3"/>
      <c r="D49" s="178">
        <f>_xll.HPVAL($I$1,$I$2,$A49,D$24,$I$3,$I$4)</f>
        <v>0</v>
      </c>
      <c r="E49" s="178">
        <f>_xll.HPVAL($I$1,$I$2,$A49,E$24,$I$3,$I$4)</f>
        <v>0</v>
      </c>
      <c r="F49" s="178">
        <f>_xll.HPVAL($I$1,$I$2,$A49,F$24,$I$3,$I$4)</f>
        <v>0</v>
      </c>
      <c r="G49" s="178">
        <f>_xll.HPVAL($I$1,$I$2,$A49,G$24,$I$3,$I$4)</f>
        <v>0</v>
      </c>
      <c r="H49" s="178">
        <f>_xll.HPVAL($I$1,$I$2,$A49,H$24,$I$3,$I$4)</f>
        <v>0</v>
      </c>
      <c r="I49" s="178">
        <f>_xll.HPVAL($I$1,$I$2,$A49,I$24,$I$3,$I$4)</f>
        <v>0</v>
      </c>
      <c r="J49" s="178"/>
      <c r="K49" s="178"/>
      <c r="L49" s="178">
        <f>_xll.HPVAL($I$1,$J$2,$A49,L$24,$I$3,$I$4)</f>
        <v>0</v>
      </c>
      <c r="M49" s="178">
        <f>_xll.HPVAL($I$1,$J$2,$A49,M$24,$I$3,$I$4)</f>
        <v>0</v>
      </c>
      <c r="N49" s="178">
        <f>_xll.HPVAL($I$1,$J$2,$A49,N$24,$I$3,$I$4)</f>
        <v>0</v>
      </c>
      <c r="O49" s="178">
        <f>_xll.HPVAL($I$1,$J$2,$A49,O$24,$I$3,$I$4)</f>
        <v>0</v>
      </c>
      <c r="P49" s="187">
        <f t="shared" si="2"/>
        <v>0</v>
      </c>
    </row>
    <row r="50" spans="1:16">
      <c r="B50" s="191" t="s">
        <v>21</v>
      </c>
      <c r="C50" s="3"/>
      <c r="D50" s="189">
        <f t="shared" ref="D50:O50" si="6">SUM(D44:D49)</f>
        <v>0</v>
      </c>
      <c r="E50" s="189">
        <f t="shared" si="6"/>
        <v>0</v>
      </c>
      <c r="F50" s="189">
        <f t="shared" si="6"/>
        <v>0</v>
      </c>
      <c r="G50" s="189">
        <f t="shared" si="6"/>
        <v>0</v>
      </c>
      <c r="H50" s="189">
        <f t="shared" si="6"/>
        <v>0</v>
      </c>
      <c r="I50" s="189">
        <f t="shared" si="6"/>
        <v>0</v>
      </c>
      <c r="J50" s="189">
        <f t="shared" si="6"/>
        <v>0</v>
      </c>
      <c r="K50" s="189">
        <f t="shared" si="6"/>
        <v>0</v>
      </c>
      <c r="L50" s="189">
        <f t="shared" si="6"/>
        <v>0</v>
      </c>
      <c r="M50" s="189">
        <f t="shared" si="6"/>
        <v>0</v>
      </c>
      <c r="N50" s="189">
        <f t="shared" si="6"/>
        <v>0</v>
      </c>
      <c r="O50" s="189">
        <f t="shared" si="6"/>
        <v>0</v>
      </c>
      <c r="P50" s="189">
        <f t="shared" si="2"/>
        <v>0</v>
      </c>
    </row>
    <row r="51" spans="1:16">
      <c r="A51" s="186" t="s">
        <v>207</v>
      </c>
      <c r="B51" s="3" t="s">
        <v>22</v>
      </c>
      <c r="C51" s="3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7">
        <f t="shared" si="2"/>
        <v>0</v>
      </c>
    </row>
    <row r="52" spans="1:16">
      <c r="A52" s="186" t="s">
        <v>208</v>
      </c>
      <c r="B52" s="3"/>
      <c r="C52" s="3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7">
        <f>SUM(D52:O52)</f>
        <v>0</v>
      </c>
    </row>
    <row r="53" spans="1:16">
      <c r="A53" s="186" t="s">
        <v>209</v>
      </c>
      <c r="B53" s="3" t="s">
        <v>23</v>
      </c>
      <c r="C53" s="3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87">
        <f t="shared" si="2"/>
        <v>0</v>
      </c>
    </row>
    <row r="54" spans="1:16">
      <c r="A54" s="186" t="s">
        <v>210</v>
      </c>
      <c r="B54" s="3" t="s">
        <v>24</v>
      </c>
      <c r="C54" s="3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87">
        <f t="shared" si="2"/>
        <v>0</v>
      </c>
    </row>
    <row r="55" spans="1:16">
      <c r="A55" s="186" t="s">
        <v>211</v>
      </c>
      <c r="B55" s="3"/>
      <c r="C55" s="3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87">
        <f>SUM(D55:O55)</f>
        <v>0</v>
      </c>
    </row>
    <row r="56" spans="1:16">
      <c r="A56" s="186" t="s">
        <v>212</v>
      </c>
      <c r="B56" s="3"/>
      <c r="C56" s="3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87">
        <f>SUM(D56:O56)</f>
        <v>0</v>
      </c>
    </row>
    <row r="57" spans="1:16">
      <c r="B57" s="191" t="s">
        <v>25</v>
      </c>
      <c r="C57" s="3"/>
      <c r="D57" s="189">
        <f t="shared" ref="D57:O57" si="7">SUM(D51:D56)</f>
        <v>0</v>
      </c>
      <c r="E57" s="189">
        <f t="shared" si="7"/>
        <v>0</v>
      </c>
      <c r="F57" s="189">
        <f t="shared" si="7"/>
        <v>0</v>
      </c>
      <c r="G57" s="189">
        <f t="shared" si="7"/>
        <v>0</v>
      </c>
      <c r="H57" s="189">
        <f t="shared" si="7"/>
        <v>0</v>
      </c>
      <c r="I57" s="189">
        <f t="shared" si="7"/>
        <v>0</v>
      </c>
      <c r="J57" s="189">
        <f t="shared" si="7"/>
        <v>0</v>
      </c>
      <c r="K57" s="189">
        <f t="shared" si="7"/>
        <v>0</v>
      </c>
      <c r="L57" s="189">
        <f t="shared" si="7"/>
        <v>0</v>
      </c>
      <c r="M57" s="189">
        <f t="shared" si="7"/>
        <v>0</v>
      </c>
      <c r="N57" s="189">
        <f t="shared" si="7"/>
        <v>0</v>
      </c>
      <c r="O57" s="189">
        <f t="shared" si="7"/>
        <v>0</v>
      </c>
      <c r="P57" s="189">
        <f t="shared" si="2"/>
        <v>0</v>
      </c>
    </row>
    <row r="58" spans="1:16">
      <c r="A58" s="186" t="s">
        <v>213</v>
      </c>
      <c r="B58" s="3" t="s">
        <v>26</v>
      </c>
      <c r="C58" s="3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87">
        <f t="shared" si="2"/>
        <v>0</v>
      </c>
    </row>
    <row r="59" spans="1:16">
      <c r="A59" s="186" t="s">
        <v>214</v>
      </c>
      <c r="B59" s="3" t="s">
        <v>27</v>
      </c>
      <c r="C59" s="3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87">
        <f t="shared" si="2"/>
        <v>0</v>
      </c>
    </row>
    <row r="60" spans="1:16">
      <c r="A60" s="186" t="s">
        <v>215</v>
      </c>
      <c r="B60" s="3" t="s">
        <v>28</v>
      </c>
      <c r="C60" s="3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87">
        <f t="shared" si="2"/>
        <v>0</v>
      </c>
    </row>
    <row r="61" spans="1:16">
      <c r="A61" s="186" t="s">
        <v>216</v>
      </c>
      <c r="B61" s="3" t="s">
        <v>29</v>
      </c>
      <c r="C61" s="3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87">
        <f t="shared" si="2"/>
        <v>0</v>
      </c>
    </row>
    <row r="62" spans="1:16">
      <c r="A62" s="186" t="s">
        <v>217</v>
      </c>
      <c r="B62" s="3" t="s">
        <v>30</v>
      </c>
      <c r="C62" s="3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87">
        <f t="shared" si="2"/>
        <v>0</v>
      </c>
    </row>
    <row r="63" spans="1:16">
      <c r="A63" s="186" t="s">
        <v>218</v>
      </c>
      <c r="B63" s="3" t="s">
        <v>31</v>
      </c>
      <c r="C63" s="3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87">
        <f t="shared" si="2"/>
        <v>0</v>
      </c>
    </row>
    <row r="64" spans="1:16">
      <c r="A64" s="186" t="s">
        <v>219</v>
      </c>
      <c r="B64" s="3" t="s">
        <v>32</v>
      </c>
      <c r="C64" s="3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87">
        <f t="shared" si="2"/>
        <v>0</v>
      </c>
    </row>
    <row r="65" spans="1:16">
      <c r="B65" s="191" t="s">
        <v>33</v>
      </c>
      <c r="C65" s="3"/>
      <c r="D65" s="189">
        <f t="shared" ref="D65:O65" si="8">SUM(D58:D64)</f>
        <v>0</v>
      </c>
      <c r="E65" s="189">
        <f t="shared" si="8"/>
        <v>0</v>
      </c>
      <c r="F65" s="189">
        <f t="shared" si="8"/>
        <v>0</v>
      </c>
      <c r="G65" s="189">
        <f t="shared" si="8"/>
        <v>0</v>
      </c>
      <c r="H65" s="189">
        <f t="shared" si="8"/>
        <v>0</v>
      </c>
      <c r="I65" s="189">
        <f t="shared" si="8"/>
        <v>0</v>
      </c>
      <c r="J65" s="189">
        <f t="shared" si="8"/>
        <v>0</v>
      </c>
      <c r="K65" s="189">
        <f t="shared" si="8"/>
        <v>0</v>
      </c>
      <c r="L65" s="189">
        <f t="shared" si="8"/>
        <v>0</v>
      </c>
      <c r="M65" s="189">
        <f t="shared" si="8"/>
        <v>0</v>
      </c>
      <c r="N65" s="189">
        <f t="shared" si="8"/>
        <v>0</v>
      </c>
      <c r="O65" s="189">
        <f t="shared" si="8"/>
        <v>0</v>
      </c>
      <c r="P65" s="189">
        <f t="shared" si="2"/>
        <v>0</v>
      </c>
    </row>
    <row r="66" spans="1:16">
      <c r="A66" s="186" t="s">
        <v>220</v>
      </c>
      <c r="B66" s="3" t="s">
        <v>34</v>
      </c>
      <c r="C66" s="3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87">
        <f t="shared" si="2"/>
        <v>0</v>
      </c>
    </row>
    <row r="67" spans="1:16">
      <c r="A67" s="186" t="s">
        <v>221</v>
      </c>
      <c r="B67" s="3" t="s">
        <v>35</v>
      </c>
      <c r="C67" s="3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87">
        <f t="shared" si="2"/>
        <v>0</v>
      </c>
    </row>
    <row r="68" spans="1:16">
      <c r="A68" s="186" t="s">
        <v>222</v>
      </c>
      <c r="B68" s="3" t="s">
        <v>36</v>
      </c>
      <c r="C68" s="3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87">
        <f t="shared" si="2"/>
        <v>0</v>
      </c>
    </row>
    <row r="69" spans="1:16">
      <c r="A69" s="186" t="s">
        <v>223</v>
      </c>
      <c r="B69" s="3" t="s">
        <v>37</v>
      </c>
      <c r="C69" s="3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87">
        <f t="shared" si="2"/>
        <v>0</v>
      </c>
    </row>
    <row r="70" spans="1:16">
      <c r="B70" s="191" t="s">
        <v>38</v>
      </c>
      <c r="C70" s="3"/>
      <c r="D70" s="189">
        <f t="shared" ref="D70:O70" si="9">SUM(D66:D69)</f>
        <v>0</v>
      </c>
      <c r="E70" s="189">
        <f t="shared" si="9"/>
        <v>0</v>
      </c>
      <c r="F70" s="189">
        <f t="shared" si="9"/>
        <v>0</v>
      </c>
      <c r="G70" s="189">
        <f t="shared" si="9"/>
        <v>0</v>
      </c>
      <c r="H70" s="189">
        <f t="shared" si="9"/>
        <v>0</v>
      </c>
      <c r="I70" s="189">
        <f t="shared" si="9"/>
        <v>0</v>
      </c>
      <c r="J70" s="189">
        <f t="shared" si="9"/>
        <v>0</v>
      </c>
      <c r="K70" s="189">
        <f t="shared" si="9"/>
        <v>0</v>
      </c>
      <c r="L70" s="189">
        <f t="shared" si="9"/>
        <v>0</v>
      </c>
      <c r="M70" s="189">
        <f t="shared" si="9"/>
        <v>0</v>
      </c>
      <c r="N70" s="189">
        <f t="shared" si="9"/>
        <v>0</v>
      </c>
      <c r="O70" s="189">
        <f t="shared" si="9"/>
        <v>0</v>
      </c>
      <c r="P70" s="189">
        <f t="shared" si="2"/>
        <v>0</v>
      </c>
    </row>
    <row r="71" spans="1:16">
      <c r="A71" s="186" t="s">
        <v>224</v>
      </c>
      <c r="B71" s="192" t="s">
        <v>39</v>
      </c>
      <c r="C71" s="3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87">
        <f t="shared" si="2"/>
        <v>0</v>
      </c>
    </row>
    <row r="72" spans="1:16">
      <c r="A72" s="186" t="s">
        <v>225</v>
      </c>
      <c r="B72" s="3" t="s">
        <v>40</v>
      </c>
      <c r="C72" s="3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87">
        <f t="shared" si="2"/>
        <v>0</v>
      </c>
    </row>
    <row r="73" spans="1:16">
      <c r="A73" s="186" t="s">
        <v>226</v>
      </c>
      <c r="B73" s="3" t="s">
        <v>41</v>
      </c>
      <c r="C73" s="3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87">
        <f t="shared" si="2"/>
        <v>0</v>
      </c>
    </row>
    <row r="74" spans="1:16">
      <c r="A74" s="186"/>
      <c r="B74" s="191" t="s">
        <v>42</v>
      </c>
      <c r="C74" s="3"/>
      <c r="D74" s="189">
        <f t="shared" ref="D74:O74" si="10">SUM(D72:D73)</f>
        <v>0</v>
      </c>
      <c r="E74" s="189">
        <f t="shared" si="10"/>
        <v>0</v>
      </c>
      <c r="F74" s="189">
        <f t="shared" si="10"/>
        <v>0</v>
      </c>
      <c r="G74" s="189">
        <f t="shared" si="10"/>
        <v>0</v>
      </c>
      <c r="H74" s="189">
        <f t="shared" si="10"/>
        <v>0</v>
      </c>
      <c r="I74" s="189">
        <f t="shared" si="10"/>
        <v>0</v>
      </c>
      <c r="J74" s="189">
        <f t="shared" si="10"/>
        <v>0</v>
      </c>
      <c r="K74" s="189">
        <f t="shared" si="10"/>
        <v>0</v>
      </c>
      <c r="L74" s="189">
        <f t="shared" si="10"/>
        <v>0</v>
      </c>
      <c r="M74" s="189">
        <f t="shared" si="10"/>
        <v>0</v>
      </c>
      <c r="N74" s="189">
        <f t="shared" si="10"/>
        <v>0</v>
      </c>
      <c r="O74" s="189">
        <f t="shared" si="10"/>
        <v>0</v>
      </c>
      <c r="P74" s="189">
        <f t="shared" si="2"/>
        <v>0</v>
      </c>
    </row>
    <row r="75" spans="1:16">
      <c r="A75" s="186" t="s">
        <v>227</v>
      </c>
      <c r="B75" s="191"/>
      <c r="C75" s="3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87">
        <f t="shared" si="2"/>
        <v>0</v>
      </c>
    </row>
    <row r="76" spans="1:16">
      <c r="A76" s="186" t="s">
        <v>228</v>
      </c>
      <c r="B76" s="191"/>
      <c r="C76" s="3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87">
        <f>SUM(D76:O76)</f>
        <v>0</v>
      </c>
    </row>
    <row r="77" spans="1:16">
      <c r="A77" s="186" t="s">
        <v>229</v>
      </c>
      <c r="B77" s="3" t="s">
        <v>43</v>
      </c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87">
        <f t="shared" si="2"/>
        <v>0</v>
      </c>
    </row>
    <row r="78" spans="1:16">
      <c r="A78" s="186" t="s">
        <v>230</v>
      </c>
      <c r="B78" s="3" t="s">
        <v>44</v>
      </c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87">
        <f t="shared" si="2"/>
        <v>0</v>
      </c>
    </row>
    <row r="79" spans="1:16">
      <c r="A79" s="186" t="s">
        <v>231</v>
      </c>
      <c r="B79" s="3" t="s">
        <v>50</v>
      </c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87">
        <f t="shared" si="2"/>
        <v>0</v>
      </c>
    </row>
    <row r="80" spans="1:16">
      <c r="A80" s="186" t="s">
        <v>232</v>
      </c>
      <c r="B80" s="3" t="s">
        <v>51</v>
      </c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87">
        <f t="shared" si="2"/>
        <v>0</v>
      </c>
    </row>
    <row r="81" spans="1:16">
      <c r="A81" s="186" t="s">
        <v>233</v>
      </c>
      <c r="B81" s="3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87">
        <f>SUM(D81:O81)</f>
        <v>0</v>
      </c>
    </row>
    <row r="82" spans="1:16">
      <c r="A82" s="186" t="s">
        <v>234</v>
      </c>
      <c r="B82" s="3" t="s">
        <v>45</v>
      </c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87">
        <f t="shared" si="2"/>
        <v>0</v>
      </c>
    </row>
    <row r="83" spans="1:16">
      <c r="A83" s="186" t="s">
        <v>235</v>
      </c>
      <c r="B83" s="191" t="s">
        <v>46</v>
      </c>
      <c r="D83" s="189">
        <f t="shared" ref="D83:O83" si="11">D28+D34+D43+D50+D57+D65+D70+D71+D74+D75+SUM(D76:D82)</f>
        <v>0</v>
      </c>
      <c r="E83" s="189">
        <f t="shared" si="11"/>
        <v>0</v>
      </c>
      <c r="F83" s="189">
        <f t="shared" si="11"/>
        <v>0</v>
      </c>
      <c r="G83" s="189">
        <f t="shared" si="11"/>
        <v>0</v>
      </c>
      <c r="H83" s="189">
        <f t="shared" si="11"/>
        <v>0</v>
      </c>
      <c r="I83" s="189">
        <f t="shared" si="11"/>
        <v>0</v>
      </c>
      <c r="J83" s="189">
        <f t="shared" si="11"/>
        <v>0</v>
      </c>
      <c r="K83" s="189">
        <f t="shared" si="11"/>
        <v>0</v>
      </c>
      <c r="L83" s="189">
        <f t="shared" si="11"/>
        <v>0</v>
      </c>
      <c r="M83" s="189">
        <f t="shared" si="11"/>
        <v>0</v>
      </c>
      <c r="N83" s="189">
        <f t="shared" si="11"/>
        <v>0</v>
      </c>
      <c r="O83" s="189">
        <f t="shared" si="11"/>
        <v>0</v>
      </c>
      <c r="P83" s="189">
        <f t="shared" si="2"/>
        <v>0</v>
      </c>
    </row>
    <row r="84" spans="1:16">
      <c r="A84" s="186" t="s">
        <v>236</v>
      </c>
      <c r="B84" s="3" t="s">
        <v>47</v>
      </c>
      <c r="D84" s="178">
        <f>_xll.HPVAL($I$1,$I$2,$A84,D$24,$I$3,$I$4)</f>
        <v>0</v>
      </c>
      <c r="E84" s="178">
        <f>_xll.HPVAL($I$1,$I$2,$A84,E$24,$I$3,$I$4)</f>
        <v>0</v>
      </c>
      <c r="F84" s="178">
        <f>_xll.HPVAL($I$1,$I$2,$A84,F$24,$I$3,$I$4)</f>
        <v>0</v>
      </c>
      <c r="G84" s="178">
        <f>_xll.HPVAL($I$1,$I$2,$A84,G$24,$I$3,$I$4)</f>
        <v>0</v>
      </c>
      <c r="H84" s="178">
        <f>_xll.HPVAL($I$1,$I$2,$A84,H$24,$I$3,$I$4)</f>
        <v>0</v>
      </c>
      <c r="I84" s="178">
        <f>_xll.HPVAL($I$1,$I$2,$A84,I$24,$I$3,$I$4)</f>
        <v>0</v>
      </c>
      <c r="J84" s="178"/>
      <c r="K84" s="178"/>
      <c r="L84" s="178">
        <f>_xll.HPVAL($I$1,$J$2,$A84,L$24,$I$3,$I$4)</f>
        <v>0</v>
      </c>
      <c r="M84" s="178">
        <f>_xll.HPVAL($I$1,$J$2,$A84,M$24,$I$3,$I$4)</f>
        <v>0</v>
      </c>
      <c r="N84" s="178">
        <f>_xll.HPVAL($I$1,$J$2,$A84,N$24,$I$3,$I$4)</f>
        <v>0</v>
      </c>
      <c r="O84" s="178">
        <f>_xll.HPVAL($I$1,$J$2,$A84,O$24,$I$3,$I$4)</f>
        <v>0</v>
      </c>
      <c r="P84" s="187">
        <f t="shared" si="2"/>
        <v>0</v>
      </c>
    </row>
    <row r="85" spans="1:16">
      <c r="A85" s="186" t="s">
        <v>237</v>
      </c>
      <c r="B85" s="3" t="s">
        <v>48</v>
      </c>
      <c r="D85" s="178">
        <f>_xll.HPVAL($I$1,$I$2,$A85,D$24,$I$3,$I$4)</f>
        <v>0</v>
      </c>
      <c r="E85" s="178">
        <f>_xll.HPVAL($I$1,$I$2,$A85,E$24,$I$3,$I$4)</f>
        <v>0</v>
      </c>
      <c r="F85" s="178">
        <f>_xll.HPVAL($I$1,$I$2,$A85,F$24,$I$3,$I$4)</f>
        <v>0</v>
      </c>
      <c r="G85" s="178">
        <f>_xll.HPVAL($I$1,$I$2,$A85,G$24,$I$3,$I$4)</f>
        <v>0</v>
      </c>
      <c r="H85" s="178">
        <f>_xll.HPVAL($I$1,$I$2,$A85,H$24,$I$3,$I$4)</f>
        <v>0</v>
      </c>
      <c r="I85" s="178">
        <f>_xll.HPVAL($I$1,$I$2,$A85,I$24,$I$3,$I$4)</f>
        <v>0</v>
      </c>
      <c r="J85" s="178"/>
      <c r="K85" s="178"/>
      <c r="L85" s="178">
        <f>_xll.HPVAL($I$1,$J$2,$A85,L$24,$I$3,$I$4)</f>
        <v>0</v>
      </c>
      <c r="M85" s="178">
        <f>_xll.HPVAL($I$1,$J$2,$A85,M$24,$I$3,$I$4)</f>
        <v>0</v>
      </c>
      <c r="N85" s="178">
        <f>_xll.HPVAL($I$1,$J$2,$A85,N$24,$I$3,$I$4)</f>
        <v>0</v>
      </c>
      <c r="O85" s="178">
        <f>_xll.HPVAL($I$1,$J$2,$A85,O$24,$I$3,$I$4)</f>
        <v>0</v>
      </c>
      <c r="P85" s="187">
        <f t="shared" si="2"/>
        <v>0</v>
      </c>
    </row>
    <row r="86" spans="1:16">
      <c r="B86" s="191" t="s">
        <v>238</v>
      </c>
      <c r="D86" s="189">
        <f t="shared" ref="D86:O86" si="12">SUM(D84:D85)</f>
        <v>0</v>
      </c>
      <c r="E86" s="189">
        <f t="shared" si="12"/>
        <v>0</v>
      </c>
      <c r="F86" s="189">
        <f t="shared" si="12"/>
        <v>0</v>
      </c>
      <c r="G86" s="189">
        <f t="shared" si="12"/>
        <v>0</v>
      </c>
      <c r="H86" s="189">
        <f t="shared" si="12"/>
        <v>0</v>
      </c>
      <c r="I86" s="189">
        <f t="shared" si="12"/>
        <v>0</v>
      </c>
      <c r="J86" s="189"/>
      <c r="K86" s="189"/>
      <c r="L86" s="189">
        <f t="shared" si="12"/>
        <v>0</v>
      </c>
      <c r="M86" s="189">
        <f t="shared" si="12"/>
        <v>0</v>
      </c>
      <c r="N86" s="189">
        <f t="shared" si="12"/>
        <v>0</v>
      </c>
      <c r="O86" s="189">
        <f t="shared" si="12"/>
        <v>0</v>
      </c>
      <c r="P86" s="189">
        <f t="shared" si="2"/>
        <v>0</v>
      </c>
    </row>
    <row r="87" spans="1:16" ht="14.4" thickBot="1">
      <c r="B87" s="182" t="s">
        <v>49</v>
      </c>
      <c r="D87" s="193">
        <f t="shared" ref="D87:P87" si="13">D86+D83</f>
        <v>0</v>
      </c>
      <c r="E87" s="193">
        <f t="shared" si="13"/>
        <v>0</v>
      </c>
      <c r="F87" s="193">
        <f t="shared" si="13"/>
        <v>0</v>
      </c>
      <c r="G87" s="193">
        <f t="shared" si="13"/>
        <v>0</v>
      </c>
      <c r="H87" s="193">
        <f t="shared" si="13"/>
        <v>0</v>
      </c>
      <c r="I87" s="193">
        <f t="shared" si="13"/>
        <v>0</v>
      </c>
      <c r="J87" s="193">
        <f t="shared" si="13"/>
        <v>0</v>
      </c>
      <c r="K87" s="193">
        <f t="shared" si="13"/>
        <v>0</v>
      </c>
      <c r="L87" s="193">
        <f t="shared" si="13"/>
        <v>0</v>
      </c>
      <c r="M87" s="193">
        <f t="shared" si="13"/>
        <v>0</v>
      </c>
      <c r="N87" s="193">
        <f t="shared" si="13"/>
        <v>0</v>
      </c>
      <c r="O87" s="193">
        <f t="shared" si="13"/>
        <v>0</v>
      </c>
      <c r="P87" s="193">
        <f t="shared" si="13"/>
        <v>0</v>
      </c>
    </row>
    <row r="88" spans="1:16" ht="14.4" thickTop="1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90" spans="1:16">
      <c r="B90" s="4" t="str">
        <f ca="1">CELL("FILENAME")</f>
        <v>O:\Fin_Ops\Finrpt\2001\2001 Plan\O&amp;M Reporting\Budget\Research\[Research 2001 budget as of 0922.xls]Research</v>
      </c>
    </row>
    <row r="91" spans="1:16">
      <c r="K91" s="194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D125"/>
  <sheetViews>
    <sheetView topLeftCell="A78" zoomScale="75" workbookViewId="0">
      <selection activeCell="D7" sqref="D7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22.77734375" style="1" customWidth="1"/>
    <col min="17" max="17" width="11.44140625" style="1" bestFit="1" customWidth="1"/>
    <col min="18" max="16384" width="9.33203125" style="1"/>
  </cols>
  <sheetData>
    <row r="1" spans="1:16" s="11" customFormat="1" ht="9.75" customHeight="1">
      <c r="A1" s="18"/>
      <c r="B1" s="19"/>
      <c r="C1" s="19"/>
      <c r="D1" s="19"/>
    </row>
    <row r="2" spans="1:16" s="23" customFormat="1" ht="27" customHeight="1">
      <c r="A2" s="20" t="s">
        <v>125</v>
      </c>
      <c r="B2" s="20"/>
      <c r="C2" s="20"/>
      <c r="D2" s="20"/>
      <c r="E2" s="21"/>
      <c r="F2" s="21"/>
      <c r="G2" s="21"/>
      <c r="H2" s="22"/>
    </row>
    <row r="3" spans="1:16" s="23" customFormat="1" ht="27" customHeight="1">
      <c r="A3" s="20" t="s">
        <v>94</v>
      </c>
      <c r="B3" s="20"/>
      <c r="C3" s="20"/>
      <c r="D3" s="20"/>
      <c r="E3" s="21"/>
      <c r="F3" s="21"/>
      <c r="G3" s="21"/>
      <c r="H3" s="22"/>
      <c r="P3" s="24" t="s">
        <v>95</v>
      </c>
    </row>
    <row r="4" spans="1:16" s="5" customFormat="1" ht="13.5" customHeight="1">
      <c r="C4" s="6"/>
      <c r="D4" s="2"/>
      <c r="G4" s="7"/>
      <c r="H4" s="7"/>
      <c r="I4" s="10"/>
    </row>
    <row r="5" spans="1:16" s="5" customFormat="1" ht="14.25" customHeight="1" thickBot="1">
      <c r="B5" s="6" t="s">
        <v>84</v>
      </c>
      <c r="D5" s="40"/>
    </row>
    <row r="6" spans="1:16" s="5" customFormat="1" ht="14.25" customHeight="1" thickBot="1">
      <c r="B6" s="6" t="s">
        <v>86</v>
      </c>
      <c r="D6" s="40" t="s">
        <v>246</v>
      </c>
    </row>
    <row r="7" spans="1:16" s="5" customFormat="1" ht="14.25" customHeight="1" thickBot="1">
      <c r="B7" s="6" t="s">
        <v>93</v>
      </c>
      <c r="D7" s="40"/>
      <c r="H7" s="7"/>
      <c r="N7" s="25" t="s">
        <v>91</v>
      </c>
      <c r="O7" s="41"/>
    </row>
    <row r="8" spans="1:16" s="5" customFormat="1">
      <c r="C8" s="6"/>
      <c r="D8" s="2"/>
      <c r="H8" s="7"/>
      <c r="N8" s="42" t="s">
        <v>126</v>
      </c>
    </row>
    <row r="9" spans="1:16" s="50" customFormat="1" ht="15.6">
      <c r="A9" s="47"/>
      <c r="B9" s="62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 t="s">
        <v>82</v>
      </c>
    </row>
    <row r="10" spans="1:16" s="50" customFormat="1" ht="15.6">
      <c r="A10" s="51" t="s">
        <v>97</v>
      </c>
      <c r="B10" s="63"/>
      <c r="C10" s="52">
        <v>36892</v>
      </c>
      <c r="D10" s="52">
        <v>36892</v>
      </c>
      <c r="E10" s="52">
        <v>36923</v>
      </c>
      <c r="F10" s="52">
        <v>36951</v>
      </c>
      <c r="G10" s="52">
        <v>36982</v>
      </c>
      <c r="H10" s="52">
        <v>37012</v>
      </c>
      <c r="I10" s="52">
        <v>37043</v>
      </c>
      <c r="J10" s="52">
        <v>37073</v>
      </c>
      <c r="K10" s="52">
        <v>37104</v>
      </c>
      <c r="L10" s="52">
        <v>37135</v>
      </c>
      <c r="M10" s="52">
        <v>37165</v>
      </c>
      <c r="N10" s="52">
        <v>37196</v>
      </c>
      <c r="O10" s="52">
        <v>37226</v>
      </c>
      <c r="P10" s="53" t="s">
        <v>124</v>
      </c>
    </row>
    <row r="11" spans="1:16" s="57" customFormat="1" ht="15.6">
      <c r="A11" s="81" t="s">
        <v>98</v>
      </c>
      <c r="B11" s="82"/>
      <c r="C11" s="83">
        <v>1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102">
        <f>SUM(D11:O11)/12</f>
        <v>0</v>
      </c>
    </row>
    <row r="12" spans="1:16" s="57" customFormat="1" ht="15.6">
      <c r="A12" s="54" t="s">
        <v>99</v>
      </c>
      <c r="B12" s="64"/>
      <c r="C12" s="55">
        <v>1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102">
        <f t="shared" ref="P12:P28" si="0">SUM(D12:O12)/12</f>
        <v>0</v>
      </c>
    </row>
    <row r="13" spans="1:16" s="57" customFormat="1" ht="15.6">
      <c r="A13" s="54" t="s">
        <v>100</v>
      </c>
      <c r="B13" s="64"/>
      <c r="C13" s="55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102">
        <f t="shared" si="0"/>
        <v>0</v>
      </c>
    </row>
    <row r="14" spans="1:16" s="57" customFormat="1" ht="15.6">
      <c r="A14" s="54" t="s">
        <v>101</v>
      </c>
      <c r="B14" s="64"/>
      <c r="C14" s="58">
        <f>SUM(C12:C13)</f>
        <v>2</v>
      </c>
      <c r="D14" s="56">
        <v>6</v>
      </c>
      <c r="E14" s="56">
        <v>6</v>
      </c>
      <c r="F14" s="56">
        <v>6</v>
      </c>
      <c r="G14" s="56">
        <v>6</v>
      </c>
      <c r="H14" s="56">
        <v>6</v>
      </c>
      <c r="I14" s="56">
        <v>6</v>
      </c>
      <c r="J14" s="56">
        <v>6</v>
      </c>
      <c r="K14" s="56">
        <v>6</v>
      </c>
      <c r="L14" s="56">
        <v>6</v>
      </c>
      <c r="M14" s="56">
        <v>6</v>
      </c>
      <c r="N14" s="56">
        <v>6</v>
      </c>
      <c r="O14" s="56">
        <v>6</v>
      </c>
      <c r="P14" s="102">
        <f t="shared" si="0"/>
        <v>6</v>
      </c>
    </row>
    <row r="15" spans="1:16" s="57" customFormat="1" ht="15.6">
      <c r="A15" s="54" t="s">
        <v>102</v>
      </c>
      <c r="B15" s="64"/>
      <c r="C15" s="55">
        <v>1</v>
      </c>
      <c r="D15" s="56">
        <v>5</v>
      </c>
      <c r="E15" s="56">
        <v>5</v>
      </c>
      <c r="F15" s="56">
        <v>5</v>
      </c>
      <c r="G15" s="56">
        <v>5</v>
      </c>
      <c r="H15" s="56">
        <v>5</v>
      </c>
      <c r="I15" s="56">
        <v>5</v>
      </c>
      <c r="J15" s="56">
        <v>5</v>
      </c>
      <c r="K15" s="56">
        <v>5</v>
      </c>
      <c r="L15" s="56">
        <v>5</v>
      </c>
      <c r="M15" s="56">
        <v>5</v>
      </c>
      <c r="N15" s="56">
        <v>5</v>
      </c>
      <c r="O15" s="56">
        <v>5</v>
      </c>
      <c r="P15" s="102">
        <f t="shared" si="0"/>
        <v>5</v>
      </c>
    </row>
    <row r="16" spans="1:16" s="57" customFormat="1" ht="15.6">
      <c r="A16" s="54" t="s">
        <v>103</v>
      </c>
      <c r="B16" s="64"/>
      <c r="C16" s="55">
        <v>1</v>
      </c>
      <c r="D16" s="56">
        <v>29</v>
      </c>
      <c r="E16" s="56">
        <v>29</v>
      </c>
      <c r="F16" s="56">
        <v>29</v>
      </c>
      <c r="G16" s="56">
        <v>29</v>
      </c>
      <c r="H16" s="56">
        <v>29</v>
      </c>
      <c r="I16" s="56">
        <v>29</v>
      </c>
      <c r="J16" s="56">
        <v>29</v>
      </c>
      <c r="K16" s="56">
        <v>29</v>
      </c>
      <c r="L16" s="56">
        <v>29</v>
      </c>
      <c r="M16" s="56">
        <v>29</v>
      </c>
      <c r="N16" s="56">
        <v>29</v>
      </c>
      <c r="O16" s="56">
        <v>29</v>
      </c>
      <c r="P16" s="102">
        <f t="shared" si="0"/>
        <v>29</v>
      </c>
    </row>
    <row r="17" spans="1:30" s="57" customFormat="1" ht="15.6">
      <c r="A17" s="54" t="s">
        <v>104</v>
      </c>
      <c r="B17" s="64"/>
      <c r="C17" s="55">
        <v>1</v>
      </c>
      <c r="D17" s="56">
        <v>8</v>
      </c>
      <c r="E17" s="56">
        <v>8</v>
      </c>
      <c r="F17" s="56">
        <v>8</v>
      </c>
      <c r="G17" s="56">
        <v>8</v>
      </c>
      <c r="H17" s="56">
        <v>8</v>
      </c>
      <c r="I17" s="56">
        <v>8</v>
      </c>
      <c r="J17" s="56">
        <v>8</v>
      </c>
      <c r="K17" s="56">
        <v>8</v>
      </c>
      <c r="L17" s="56">
        <v>8</v>
      </c>
      <c r="M17" s="56">
        <v>8</v>
      </c>
      <c r="N17" s="56">
        <v>8</v>
      </c>
      <c r="O17" s="56">
        <v>8</v>
      </c>
      <c r="P17" s="102">
        <f t="shared" si="0"/>
        <v>8</v>
      </c>
    </row>
    <row r="18" spans="1:30" s="57" customFormat="1" ht="15.6">
      <c r="A18" s="54" t="s">
        <v>105</v>
      </c>
      <c r="B18" s="64"/>
      <c r="C18" s="55">
        <v>1</v>
      </c>
      <c r="D18" s="56">
        <v>3</v>
      </c>
      <c r="E18" s="56">
        <v>3</v>
      </c>
      <c r="F18" s="56">
        <v>3</v>
      </c>
      <c r="G18" s="56">
        <v>3</v>
      </c>
      <c r="H18" s="56">
        <v>3</v>
      </c>
      <c r="I18" s="56">
        <v>3</v>
      </c>
      <c r="J18" s="56">
        <v>3</v>
      </c>
      <c r="K18" s="56">
        <v>3</v>
      </c>
      <c r="L18" s="56">
        <v>3</v>
      </c>
      <c r="M18" s="56">
        <v>3</v>
      </c>
      <c r="N18" s="56">
        <v>3</v>
      </c>
      <c r="O18" s="56">
        <v>3</v>
      </c>
      <c r="P18" s="102">
        <f t="shared" si="0"/>
        <v>3</v>
      </c>
    </row>
    <row r="19" spans="1:30" s="57" customFormat="1" ht="15.6">
      <c r="A19" s="54" t="s">
        <v>106</v>
      </c>
      <c r="B19" s="64"/>
      <c r="C19" s="55">
        <v>1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102">
        <f t="shared" si="0"/>
        <v>0</v>
      </c>
    </row>
    <row r="20" spans="1:30" s="57" customFormat="1" ht="15.6">
      <c r="A20" s="54" t="s">
        <v>107</v>
      </c>
      <c r="B20" s="64"/>
      <c r="C20" s="55">
        <v>1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102">
        <f t="shared" si="0"/>
        <v>0</v>
      </c>
    </row>
    <row r="21" spans="1:30" s="57" customFormat="1" ht="15.6">
      <c r="A21" s="54" t="s">
        <v>108</v>
      </c>
      <c r="B21" s="64"/>
      <c r="C21" s="55">
        <v>1</v>
      </c>
      <c r="D21" s="56">
        <v>5</v>
      </c>
      <c r="E21" s="56">
        <v>5</v>
      </c>
      <c r="F21" s="56">
        <v>5</v>
      </c>
      <c r="G21" s="56">
        <v>5</v>
      </c>
      <c r="H21" s="56">
        <v>5</v>
      </c>
      <c r="I21" s="56">
        <v>5</v>
      </c>
      <c r="J21" s="56">
        <v>5</v>
      </c>
      <c r="K21" s="56">
        <v>5</v>
      </c>
      <c r="L21" s="56">
        <v>5</v>
      </c>
      <c r="M21" s="56">
        <v>5</v>
      </c>
      <c r="N21" s="56">
        <v>5</v>
      </c>
      <c r="O21" s="56">
        <v>5</v>
      </c>
      <c r="P21" s="102">
        <f t="shared" si="0"/>
        <v>5</v>
      </c>
    </row>
    <row r="22" spans="1:30" s="57" customFormat="1" ht="15.6">
      <c r="A22" s="54" t="s">
        <v>109</v>
      </c>
      <c r="B22" s="64"/>
      <c r="C22" s="58" t="e">
        <f>#REF!+#REF!+#REF!+#REF!+#REF!+#REF!+#REF!+C11+C14+SUM(C15:C21)</f>
        <v>#REF!</v>
      </c>
      <c r="D22" s="56">
        <v>4</v>
      </c>
      <c r="E22" s="56">
        <v>4</v>
      </c>
      <c r="F22" s="56">
        <v>4</v>
      </c>
      <c r="G22" s="56">
        <v>4</v>
      </c>
      <c r="H22" s="56">
        <v>4</v>
      </c>
      <c r="I22" s="56">
        <v>4</v>
      </c>
      <c r="J22" s="56">
        <v>4</v>
      </c>
      <c r="K22" s="56">
        <v>4</v>
      </c>
      <c r="L22" s="56">
        <v>4</v>
      </c>
      <c r="M22" s="56">
        <v>4</v>
      </c>
      <c r="N22" s="56">
        <v>4</v>
      </c>
      <c r="O22" s="56">
        <v>4</v>
      </c>
      <c r="P22" s="102">
        <f t="shared" si="0"/>
        <v>4</v>
      </c>
    </row>
    <row r="23" spans="1:30" s="57" customFormat="1" ht="15.6">
      <c r="A23" s="54" t="s">
        <v>111</v>
      </c>
      <c r="B23" s="64"/>
      <c r="C23" s="58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103">
        <f t="shared" si="0"/>
        <v>0</v>
      </c>
    </row>
    <row r="24" spans="1:30" s="57" customFormat="1" ht="15.6">
      <c r="A24" s="77" t="s">
        <v>110</v>
      </c>
      <c r="B24" s="78"/>
      <c r="C24" s="79" t="e">
        <f>SUM(#REF!)</f>
        <v>#REF!</v>
      </c>
      <c r="D24" s="80">
        <f t="shared" ref="D24:P24" si="1">SUM(D11:D23)</f>
        <v>60</v>
      </c>
      <c r="E24" s="80">
        <f t="shared" si="1"/>
        <v>60</v>
      </c>
      <c r="F24" s="80">
        <f t="shared" si="1"/>
        <v>60</v>
      </c>
      <c r="G24" s="80">
        <f t="shared" si="1"/>
        <v>60</v>
      </c>
      <c r="H24" s="80">
        <f t="shared" si="1"/>
        <v>60</v>
      </c>
      <c r="I24" s="80">
        <f t="shared" si="1"/>
        <v>60</v>
      </c>
      <c r="J24" s="80">
        <f t="shared" si="1"/>
        <v>60</v>
      </c>
      <c r="K24" s="80">
        <f t="shared" si="1"/>
        <v>60</v>
      </c>
      <c r="L24" s="80">
        <f t="shared" si="1"/>
        <v>60</v>
      </c>
      <c r="M24" s="80">
        <f t="shared" si="1"/>
        <v>60</v>
      </c>
      <c r="N24" s="80">
        <f t="shared" si="1"/>
        <v>60</v>
      </c>
      <c r="O24" s="80">
        <f t="shared" si="1"/>
        <v>60</v>
      </c>
      <c r="P24" s="80">
        <f t="shared" si="1"/>
        <v>60</v>
      </c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 spans="1:30" s="57" customFormat="1" ht="15.6">
      <c r="A25" s="54" t="s">
        <v>111</v>
      </c>
      <c r="B25" s="64"/>
      <c r="C25" s="55">
        <v>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02">
        <f t="shared" si="0"/>
        <v>0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s="57" customFormat="1" ht="15.6">
      <c r="A26" s="54" t="s">
        <v>104</v>
      </c>
      <c r="B26" s="64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02">
        <f t="shared" si="0"/>
        <v>0</v>
      </c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s="57" customFormat="1" ht="15.6">
      <c r="A27" s="54" t="s">
        <v>105</v>
      </c>
      <c r="B27" s="64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02">
        <f t="shared" si="0"/>
        <v>0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s="57" customFormat="1" ht="15.6">
      <c r="A28" s="54" t="s">
        <v>135</v>
      </c>
      <c r="B28" s="64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103">
        <f t="shared" si="0"/>
        <v>0</v>
      </c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7" customFormat="1" ht="15.6">
      <c r="A29" s="59" t="s">
        <v>112</v>
      </c>
      <c r="B29" s="66"/>
      <c r="C29" s="60" t="e">
        <f>C24+C22+C25</f>
        <v>#REF!</v>
      </c>
      <c r="D29" s="61">
        <f t="shared" ref="D29:P29" si="2">+D24-D25-D26-D27-D28</f>
        <v>60</v>
      </c>
      <c r="E29" s="61">
        <f t="shared" si="2"/>
        <v>60</v>
      </c>
      <c r="F29" s="61">
        <f t="shared" si="2"/>
        <v>60</v>
      </c>
      <c r="G29" s="61">
        <f t="shared" si="2"/>
        <v>60</v>
      </c>
      <c r="H29" s="61">
        <f t="shared" si="2"/>
        <v>60</v>
      </c>
      <c r="I29" s="61">
        <f t="shared" si="2"/>
        <v>60</v>
      </c>
      <c r="J29" s="61">
        <f t="shared" si="2"/>
        <v>60</v>
      </c>
      <c r="K29" s="61">
        <f t="shared" si="2"/>
        <v>60</v>
      </c>
      <c r="L29" s="61">
        <f t="shared" si="2"/>
        <v>60</v>
      </c>
      <c r="M29" s="61">
        <f t="shared" si="2"/>
        <v>60</v>
      </c>
      <c r="N29" s="61">
        <f t="shared" si="2"/>
        <v>60</v>
      </c>
      <c r="O29" s="61">
        <f t="shared" si="2"/>
        <v>60</v>
      </c>
      <c r="P29" s="61">
        <f t="shared" si="2"/>
        <v>60</v>
      </c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 spans="1:30" s="64" customFormat="1" ht="15.6">
      <c r="A30" s="65"/>
      <c r="B30" s="65"/>
      <c r="C30" s="58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</row>
    <row r="31" spans="1:30" s="71" customFormat="1" ht="15.6">
      <c r="A31" s="68" t="s">
        <v>89</v>
      </c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49" t="s">
        <v>82</v>
      </c>
    </row>
    <row r="32" spans="1:30" s="71" customFormat="1" ht="15.6">
      <c r="A32" s="51" t="s">
        <v>90</v>
      </c>
      <c r="B32" s="63" t="s">
        <v>0</v>
      </c>
      <c r="C32" s="52"/>
      <c r="D32" s="52">
        <v>36892</v>
      </c>
      <c r="E32" s="52">
        <v>36923</v>
      </c>
      <c r="F32" s="52">
        <v>36951</v>
      </c>
      <c r="G32" s="52">
        <v>36982</v>
      </c>
      <c r="H32" s="52">
        <v>37012</v>
      </c>
      <c r="I32" s="52">
        <v>37043</v>
      </c>
      <c r="J32" s="52">
        <v>37073</v>
      </c>
      <c r="K32" s="52">
        <v>37104</v>
      </c>
      <c r="L32" s="52">
        <v>37135</v>
      </c>
      <c r="M32" s="52">
        <v>37165</v>
      </c>
      <c r="N32" s="52">
        <v>37196</v>
      </c>
      <c r="O32" s="52">
        <v>37226</v>
      </c>
      <c r="P32" s="53" t="s">
        <v>83</v>
      </c>
    </row>
    <row r="33" spans="1:18">
      <c r="A33" s="26" t="s">
        <v>54</v>
      </c>
      <c r="B33" s="8" t="s">
        <v>1</v>
      </c>
      <c r="C33" s="8"/>
      <c r="D33" s="85">
        <f>(29*9150)+(5*11600)+(5*13300)+33300+(6660*8)+(3*4160)+(4580+4160+3750+3750+2900+2900+2900+4160)</f>
        <v>518010</v>
      </c>
      <c r="E33" s="85">
        <f>+(29*9539)+(5*12093)+(5*13865)+(8*6943)+(3*4337)+(34715+3909+3909+4337+3023+3023+3023+4337+4775)</f>
        <v>540027</v>
      </c>
      <c r="F33" s="85">
        <f t="shared" ref="F33:O33" si="3">+(29*9539)+(5*12093)+(5*13865)+(8*6943)+(3*4337)+(34715+3909+3909+4337+3023+3023+3023+4337+4775)</f>
        <v>540027</v>
      </c>
      <c r="G33" s="85">
        <f t="shared" si="3"/>
        <v>540027</v>
      </c>
      <c r="H33" s="85">
        <f t="shared" si="3"/>
        <v>540027</v>
      </c>
      <c r="I33" s="85">
        <f t="shared" si="3"/>
        <v>540027</v>
      </c>
      <c r="J33" s="85">
        <f t="shared" si="3"/>
        <v>540027</v>
      </c>
      <c r="K33" s="85">
        <f t="shared" si="3"/>
        <v>540027</v>
      </c>
      <c r="L33" s="85">
        <f t="shared" si="3"/>
        <v>540027</v>
      </c>
      <c r="M33" s="85">
        <f t="shared" si="3"/>
        <v>540027</v>
      </c>
      <c r="N33" s="85">
        <f t="shared" si="3"/>
        <v>540027</v>
      </c>
      <c r="O33" s="85">
        <f t="shared" si="3"/>
        <v>540027</v>
      </c>
      <c r="P33" s="86">
        <f t="shared" ref="P33:P64" si="4">SUM(D33:O33)</f>
        <v>6458307</v>
      </c>
      <c r="Q33" s="1">
        <v>6458307</v>
      </c>
      <c r="R33" s="46">
        <f>+Q33-P33</f>
        <v>0</v>
      </c>
    </row>
    <row r="34" spans="1:18">
      <c r="A34" s="26" t="s">
        <v>54</v>
      </c>
      <c r="B34" s="8" t="s">
        <v>2</v>
      </c>
      <c r="C34" s="8"/>
      <c r="D34" s="85">
        <v>54000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6">
        <f t="shared" si="4"/>
        <v>54000</v>
      </c>
    </row>
    <row r="35" spans="1:18">
      <c r="A35" s="87"/>
      <c r="B35" s="88" t="s">
        <v>3</v>
      </c>
      <c r="C35" s="89"/>
      <c r="D35" s="90">
        <f t="shared" ref="D35:O35" si="5">SUM(D33:D34)</f>
        <v>572010</v>
      </c>
      <c r="E35" s="90">
        <f t="shared" si="5"/>
        <v>540027</v>
      </c>
      <c r="F35" s="90">
        <f t="shared" si="5"/>
        <v>540027</v>
      </c>
      <c r="G35" s="90">
        <f t="shared" si="5"/>
        <v>540027</v>
      </c>
      <c r="H35" s="90">
        <f t="shared" si="5"/>
        <v>540027</v>
      </c>
      <c r="I35" s="90">
        <f t="shared" si="5"/>
        <v>540027</v>
      </c>
      <c r="J35" s="90">
        <f t="shared" si="5"/>
        <v>540027</v>
      </c>
      <c r="K35" s="90">
        <f t="shared" si="5"/>
        <v>540027</v>
      </c>
      <c r="L35" s="90">
        <f t="shared" si="5"/>
        <v>540027</v>
      </c>
      <c r="M35" s="90">
        <f t="shared" si="5"/>
        <v>540027</v>
      </c>
      <c r="N35" s="90">
        <f t="shared" si="5"/>
        <v>540027</v>
      </c>
      <c r="O35" s="90">
        <f t="shared" si="5"/>
        <v>540027</v>
      </c>
      <c r="P35" s="91">
        <f t="shared" si="4"/>
        <v>6512307</v>
      </c>
    </row>
    <row r="36" spans="1:18">
      <c r="A36" s="87" t="s">
        <v>55</v>
      </c>
      <c r="B36" s="92" t="s">
        <v>4</v>
      </c>
      <c r="C36" s="89"/>
      <c r="D36" s="93">
        <f>(D24)*(Assumptions!B2/12)+D35*(Assumptions!B8)</f>
        <v>76910.925000000003</v>
      </c>
      <c r="E36" s="93">
        <f t="shared" ref="E36:O36" si="6">(E24)*(4800/12)+E35*(0.0925)</f>
        <v>73952.497499999998</v>
      </c>
      <c r="F36" s="93">
        <f t="shared" si="6"/>
        <v>73952.497499999998</v>
      </c>
      <c r="G36" s="93">
        <f t="shared" si="6"/>
        <v>73952.497499999998</v>
      </c>
      <c r="H36" s="93">
        <f t="shared" si="6"/>
        <v>73952.497499999998</v>
      </c>
      <c r="I36" s="93">
        <f t="shared" si="6"/>
        <v>73952.497499999998</v>
      </c>
      <c r="J36" s="93">
        <f t="shared" si="6"/>
        <v>73952.497499999998</v>
      </c>
      <c r="K36" s="93">
        <f t="shared" si="6"/>
        <v>73952.497499999998</v>
      </c>
      <c r="L36" s="93">
        <f t="shared" si="6"/>
        <v>73952.497499999998</v>
      </c>
      <c r="M36" s="93">
        <f t="shared" si="6"/>
        <v>73952.497499999998</v>
      </c>
      <c r="N36" s="93">
        <f t="shared" si="6"/>
        <v>73952.497499999998</v>
      </c>
      <c r="O36" s="93">
        <f t="shared" si="6"/>
        <v>73952.497499999998</v>
      </c>
      <c r="P36" s="86">
        <f t="shared" si="4"/>
        <v>890388.3975000002</v>
      </c>
      <c r="Q36" s="46">
        <v>603857</v>
      </c>
    </row>
    <row r="37" spans="1:18">
      <c r="A37" s="87" t="s">
        <v>56</v>
      </c>
      <c r="B37" s="89" t="s">
        <v>5</v>
      </c>
      <c r="C37" s="89"/>
      <c r="D37" s="93">
        <f>IF(D24=0,,IF(D35/D24&lt;=Assumptions!$B$12/12,D35*Assumptions!$B$14,(D35/D24-Assumptions!$B$12/12)*Assumptions!$B$16*D24+Assumptions!$B$12/12*Assumptions!$B$14*D24))</f>
        <v>38110.199999999997</v>
      </c>
      <c r="E37" s="93">
        <f>IF(E24=0,,IF(E35/E24&lt;=Assumptions!$B$12/12,E35*Assumptions!$B$14,(E35/E24-Assumptions!$B$12/12)*Assumptions!$B$16*E24+Assumptions!$B$12/12*Assumptions!$B$14*E24))</f>
        <v>37470.54</v>
      </c>
      <c r="F37" s="93">
        <f>IF(F24=0,,IF(F35/F24&lt;=Assumptions!$B$12/12,F35*Assumptions!$B$14,(F35/F24-Assumptions!$B$12/12)*Assumptions!$B$16*F24+Assumptions!$B$12/12*Assumptions!$B$14*F24))</f>
        <v>37470.54</v>
      </c>
      <c r="G37" s="93">
        <f>IF(G24=0,,IF(G35/G24&lt;=Assumptions!$B$12/12,G35*Assumptions!$B$14,(G35/G24-Assumptions!$B$12/12)*Assumptions!$B$16*G24+Assumptions!$B$12/12*Assumptions!$B$14*G24))</f>
        <v>37470.54</v>
      </c>
      <c r="H37" s="93">
        <f>IF(H24=0,,IF(H35/H24&lt;=Assumptions!$B$12/12,H35*Assumptions!$B$14,(H35/H24-Assumptions!$B$12/12)*Assumptions!$B$16*H24+Assumptions!$B$12/12*Assumptions!$B$14*H24))</f>
        <v>37470.54</v>
      </c>
      <c r="I37" s="93">
        <f>IF(I24=0,,IF(I35/I24&lt;=Assumptions!$B$12/12,I35*Assumptions!$B$14,(I35/I24-Assumptions!$B$12/12)*Assumptions!$B$16*I24+Assumptions!$B$12/12*Assumptions!$B$14*I24))</f>
        <v>37470.54</v>
      </c>
      <c r="J37" s="93">
        <f>IF(J24=0,,IF(J35/J24&lt;=Assumptions!$B$12/12,J35*Assumptions!$B$14,(J35/J24-Assumptions!$B$12/12)*Assumptions!$B$16*J24+Assumptions!$B$12/12*Assumptions!$B$14*J24))</f>
        <v>37470.54</v>
      </c>
      <c r="K37" s="93">
        <f>IF(K24=0,,IF(K35/K24&lt;=Assumptions!$B$12/12,K35*Assumptions!$B$14,(K35/K24-Assumptions!$B$12/12)*Assumptions!$B$16*K24+Assumptions!$B$12/12*Assumptions!$B$14*K24))</f>
        <v>37470.54</v>
      </c>
      <c r="L37" s="93">
        <f>IF(L24=0,,IF(L35/L24&lt;=Assumptions!$B$12/12,L35*Assumptions!$B$14,(L35/L24-Assumptions!$B$12/12)*Assumptions!$B$16*L24+Assumptions!$B$12/12*Assumptions!$B$14*L24))</f>
        <v>37470.54</v>
      </c>
      <c r="M37" s="93">
        <f>IF(M24=0,,IF(M35/M24&lt;=Assumptions!$B$12/12,M35*Assumptions!$B$14,(M35/M24-Assumptions!$B$12/12)*Assumptions!$B$16*M24+Assumptions!$B$12/12*Assumptions!$B$14*M24))</f>
        <v>37470.54</v>
      </c>
      <c r="N37" s="93">
        <f>IF(N24=0,,IF(N35/N24&lt;=Assumptions!$B$12/12,N35*Assumptions!$B$14,(N35/N24-Assumptions!$B$12/12)*Assumptions!$B$16*N24+Assumptions!$B$12/12*Assumptions!$B$14*N24))</f>
        <v>37470.54</v>
      </c>
      <c r="O37" s="93">
        <f>IF(O24=0,,IF(O35/O24&lt;=Assumptions!$B$12/12,O35*Assumptions!$B$14,(O35/O24-Assumptions!$B$12/12)*Assumptions!$B$16*O24+Assumptions!$B$12/12*Assumptions!$B$14*O24))</f>
        <v>37470.54</v>
      </c>
      <c r="P37" s="86">
        <f t="shared" si="4"/>
        <v>450286.1399999999</v>
      </c>
      <c r="Q37" s="46">
        <v>470355</v>
      </c>
    </row>
    <row r="38" spans="1:18">
      <c r="A38" s="87"/>
      <c r="B38" s="94" t="s">
        <v>6</v>
      </c>
      <c r="C38" s="89"/>
      <c r="D38" s="90">
        <f t="shared" ref="D38:O38" si="7">SUM(D36:D37)</f>
        <v>115021.125</v>
      </c>
      <c r="E38" s="90">
        <f t="shared" si="7"/>
        <v>111423.03750000001</v>
      </c>
      <c r="F38" s="90">
        <f t="shared" si="7"/>
        <v>111423.03750000001</v>
      </c>
      <c r="G38" s="90">
        <f t="shared" si="7"/>
        <v>111423.03750000001</v>
      </c>
      <c r="H38" s="90">
        <f t="shared" si="7"/>
        <v>111423.03750000001</v>
      </c>
      <c r="I38" s="90">
        <f t="shared" si="7"/>
        <v>111423.03750000001</v>
      </c>
      <c r="J38" s="90">
        <f t="shared" si="7"/>
        <v>111423.03750000001</v>
      </c>
      <c r="K38" s="90">
        <f t="shared" si="7"/>
        <v>111423.03750000001</v>
      </c>
      <c r="L38" s="90">
        <f t="shared" si="7"/>
        <v>111423.03750000001</v>
      </c>
      <c r="M38" s="90">
        <f t="shared" si="7"/>
        <v>111423.03750000001</v>
      </c>
      <c r="N38" s="90">
        <f t="shared" si="7"/>
        <v>111423.03750000001</v>
      </c>
      <c r="O38" s="90">
        <f t="shared" si="7"/>
        <v>111423.03750000001</v>
      </c>
      <c r="P38" s="91">
        <f t="shared" si="4"/>
        <v>1340674.5375000001</v>
      </c>
      <c r="Q38" s="46"/>
    </row>
    <row r="39" spans="1:18">
      <c r="A39" s="26" t="s">
        <v>57</v>
      </c>
      <c r="B39" s="9" t="s">
        <v>7</v>
      </c>
      <c r="C39" s="9"/>
      <c r="D39" s="85">
        <v>21000</v>
      </c>
      <c r="E39" s="85">
        <v>21000</v>
      </c>
      <c r="F39" s="85">
        <v>21000</v>
      </c>
      <c r="G39" s="85">
        <v>21000</v>
      </c>
      <c r="H39" s="85">
        <v>21000</v>
      </c>
      <c r="I39" s="85">
        <v>21000</v>
      </c>
      <c r="J39" s="85">
        <v>21000</v>
      </c>
      <c r="K39" s="85">
        <v>21000</v>
      </c>
      <c r="L39" s="85">
        <v>21000</v>
      </c>
      <c r="M39" s="85">
        <v>21000</v>
      </c>
      <c r="N39" s="85">
        <v>21000</v>
      </c>
      <c r="O39" s="85">
        <v>21000</v>
      </c>
      <c r="P39" s="86">
        <f t="shared" si="4"/>
        <v>252000</v>
      </c>
      <c r="Q39" s="46">
        <f>131000</f>
        <v>131000</v>
      </c>
    </row>
    <row r="40" spans="1:18">
      <c r="A40" s="26" t="s">
        <v>58</v>
      </c>
      <c r="B40" s="9" t="s">
        <v>8</v>
      </c>
      <c r="C40" s="9"/>
      <c r="D40" s="85">
        <f>500+250</f>
        <v>750</v>
      </c>
      <c r="E40" s="85">
        <f t="shared" ref="E40:O40" si="8">500+250</f>
        <v>750</v>
      </c>
      <c r="F40" s="85">
        <f t="shared" si="8"/>
        <v>750</v>
      </c>
      <c r="G40" s="85">
        <f t="shared" si="8"/>
        <v>750</v>
      </c>
      <c r="H40" s="85">
        <f t="shared" si="8"/>
        <v>750</v>
      </c>
      <c r="I40" s="85">
        <f t="shared" si="8"/>
        <v>750</v>
      </c>
      <c r="J40" s="85">
        <f t="shared" si="8"/>
        <v>750</v>
      </c>
      <c r="K40" s="85">
        <f t="shared" si="8"/>
        <v>750</v>
      </c>
      <c r="L40" s="85">
        <f t="shared" si="8"/>
        <v>750</v>
      </c>
      <c r="M40" s="85">
        <f t="shared" si="8"/>
        <v>750</v>
      </c>
      <c r="N40" s="85">
        <f t="shared" si="8"/>
        <v>750</v>
      </c>
      <c r="O40" s="85">
        <f t="shared" si="8"/>
        <v>750</v>
      </c>
      <c r="P40" s="86">
        <f t="shared" si="4"/>
        <v>9000</v>
      </c>
      <c r="Q40" s="1">
        <f>6000+3000</f>
        <v>9000</v>
      </c>
    </row>
    <row r="41" spans="1:18">
      <c r="A41" s="26" t="s">
        <v>57</v>
      </c>
      <c r="B41" s="9" t="s">
        <v>9</v>
      </c>
      <c r="C41" s="9"/>
      <c r="D41" s="85">
        <f>3000+4500</f>
        <v>7500</v>
      </c>
      <c r="E41" s="85">
        <f t="shared" ref="E41:O41" si="9">3000+4500</f>
        <v>7500</v>
      </c>
      <c r="F41" s="85">
        <f t="shared" si="9"/>
        <v>7500</v>
      </c>
      <c r="G41" s="85">
        <f t="shared" si="9"/>
        <v>7500</v>
      </c>
      <c r="H41" s="85">
        <f t="shared" si="9"/>
        <v>7500</v>
      </c>
      <c r="I41" s="85">
        <f t="shared" si="9"/>
        <v>7500</v>
      </c>
      <c r="J41" s="85">
        <f t="shared" si="9"/>
        <v>7500</v>
      </c>
      <c r="K41" s="85">
        <f t="shared" si="9"/>
        <v>7500</v>
      </c>
      <c r="L41" s="85">
        <f t="shared" si="9"/>
        <v>7500</v>
      </c>
      <c r="M41" s="85">
        <f t="shared" si="9"/>
        <v>7500</v>
      </c>
      <c r="N41" s="85">
        <f t="shared" si="9"/>
        <v>7500</v>
      </c>
      <c r="O41" s="85">
        <f t="shared" si="9"/>
        <v>7500</v>
      </c>
      <c r="P41" s="86">
        <f t="shared" si="4"/>
        <v>90000</v>
      </c>
      <c r="Q41" s="46">
        <f>36000+57000</f>
        <v>93000</v>
      </c>
    </row>
    <row r="42" spans="1:18">
      <c r="A42" s="26" t="s">
        <v>59</v>
      </c>
      <c r="B42" s="9" t="s">
        <v>10</v>
      </c>
      <c r="C42" s="9"/>
      <c r="D42" s="85">
        <v>3000</v>
      </c>
      <c r="E42" s="85">
        <v>3000</v>
      </c>
      <c r="F42" s="85">
        <v>3000</v>
      </c>
      <c r="G42" s="85">
        <v>3000</v>
      </c>
      <c r="H42" s="85">
        <v>3000</v>
      </c>
      <c r="I42" s="85">
        <v>3000</v>
      </c>
      <c r="J42" s="85">
        <v>3000</v>
      </c>
      <c r="K42" s="85">
        <v>3000</v>
      </c>
      <c r="L42" s="85">
        <v>3000</v>
      </c>
      <c r="M42" s="85">
        <v>3000</v>
      </c>
      <c r="N42" s="85">
        <v>3000</v>
      </c>
      <c r="O42" s="85">
        <v>3000</v>
      </c>
      <c r="P42" s="86">
        <f t="shared" si="4"/>
        <v>36000</v>
      </c>
      <c r="Q42" s="46">
        <v>36000</v>
      </c>
    </row>
    <row r="43" spans="1:18">
      <c r="A43" s="26" t="s">
        <v>60</v>
      </c>
      <c r="B43" s="9" t="s">
        <v>11</v>
      </c>
      <c r="C43" s="9"/>
      <c r="D43" s="85">
        <v>25000</v>
      </c>
      <c r="E43" s="85">
        <v>25000</v>
      </c>
      <c r="F43" s="85">
        <v>25000</v>
      </c>
      <c r="G43" s="85">
        <v>25000</v>
      </c>
      <c r="H43" s="85">
        <v>25000</v>
      </c>
      <c r="I43" s="85">
        <v>25000</v>
      </c>
      <c r="J43" s="85">
        <v>25000</v>
      </c>
      <c r="K43" s="85">
        <v>25000</v>
      </c>
      <c r="L43" s="85">
        <v>25000</v>
      </c>
      <c r="M43" s="85">
        <v>25000</v>
      </c>
      <c r="N43" s="85">
        <v>25000</v>
      </c>
      <c r="O43" s="85">
        <v>25000</v>
      </c>
      <c r="P43" s="86">
        <f t="shared" si="4"/>
        <v>300000</v>
      </c>
      <c r="Q43" s="1">
        <v>300000</v>
      </c>
    </row>
    <row r="44" spans="1:18">
      <c r="A44" s="27" t="s">
        <v>61</v>
      </c>
      <c r="B44" s="9" t="s">
        <v>12</v>
      </c>
      <c r="C44" s="9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6">
        <f t="shared" si="4"/>
        <v>0</v>
      </c>
    </row>
    <row r="45" spans="1:18">
      <c r="A45" s="26" t="s">
        <v>62</v>
      </c>
      <c r="B45" s="9" t="s">
        <v>13</v>
      </c>
      <c r="C45" s="9"/>
      <c r="D45" s="85">
        <v>1500</v>
      </c>
      <c r="E45" s="85">
        <v>1500</v>
      </c>
      <c r="F45" s="85">
        <v>1500</v>
      </c>
      <c r="G45" s="85">
        <v>1500</v>
      </c>
      <c r="H45" s="85">
        <v>1500</v>
      </c>
      <c r="I45" s="85">
        <v>1500</v>
      </c>
      <c r="J45" s="85">
        <v>1500</v>
      </c>
      <c r="K45" s="85">
        <v>1500</v>
      </c>
      <c r="L45" s="85">
        <v>1500</v>
      </c>
      <c r="M45" s="85">
        <v>1500</v>
      </c>
      <c r="N45" s="85">
        <v>1500</v>
      </c>
      <c r="O45" s="85">
        <v>1500</v>
      </c>
      <c r="P45" s="86">
        <f t="shared" si="4"/>
        <v>18000</v>
      </c>
      <c r="Q45" s="1">
        <v>18000</v>
      </c>
    </row>
    <row r="46" spans="1:18">
      <c r="A46" s="87"/>
      <c r="B46" s="94" t="s">
        <v>14</v>
      </c>
      <c r="C46" s="89"/>
      <c r="D46" s="90">
        <f>SUM(D39:D45)</f>
        <v>58750</v>
      </c>
      <c r="E46" s="90">
        <f t="shared" ref="E46:O46" si="10">SUM(E39:E45)</f>
        <v>58750</v>
      </c>
      <c r="F46" s="90">
        <f t="shared" si="10"/>
        <v>58750</v>
      </c>
      <c r="G46" s="90">
        <f t="shared" si="10"/>
        <v>58750</v>
      </c>
      <c r="H46" s="90">
        <f t="shared" si="10"/>
        <v>58750</v>
      </c>
      <c r="I46" s="90">
        <f t="shared" si="10"/>
        <v>58750</v>
      </c>
      <c r="J46" s="90">
        <f t="shared" si="10"/>
        <v>58750</v>
      </c>
      <c r="K46" s="90">
        <f t="shared" si="10"/>
        <v>58750</v>
      </c>
      <c r="L46" s="90">
        <f t="shared" si="10"/>
        <v>58750</v>
      </c>
      <c r="M46" s="90">
        <f t="shared" si="10"/>
        <v>58750</v>
      </c>
      <c r="N46" s="90">
        <f t="shared" si="10"/>
        <v>58750</v>
      </c>
      <c r="O46" s="90">
        <f t="shared" si="10"/>
        <v>58750</v>
      </c>
      <c r="P46" s="91">
        <f t="shared" si="4"/>
        <v>705000</v>
      </c>
    </row>
    <row r="47" spans="1:18">
      <c r="A47" s="26" t="s">
        <v>60</v>
      </c>
      <c r="B47" s="9" t="s">
        <v>15</v>
      </c>
      <c r="C47" s="9"/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6">
        <f t="shared" si="4"/>
        <v>0</v>
      </c>
    </row>
    <row r="48" spans="1:18">
      <c r="A48" s="26" t="s">
        <v>63</v>
      </c>
      <c r="B48" s="9" t="s">
        <v>16</v>
      </c>
      <c r="C48" s="9"/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6">
        <f t="shared" si="4"/>
        <v>0</v>
      </c>
    </row>
    <row r="49" spans="1:17">
      <c r="A49" s="26" t="s">
        <v>63</v>
      </c>
      <c r="B49" s="9" t="s">
        <v>17</v>
      </c>
      <c r="C49" s="9"/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6">
        <f t="shared" si="4"/>
        <v>0</v>
      </c>
    </row>
    <row r="50" spans="1:17">
      <c r="A50" s="26" t="s">
        <v>63</v>
      </c>
      <c r="B50" s="9" t="s">
        <v>18</v>
      </c>
      <c r="C50" s="9"/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6">
        <f t="shared" si="4"/>
        <v>0</v>
      </c>
    </row>
    <row r="51" spans="1:17">
      <c r="A51" s="26" t="s">
        <v>60</v>
      </c>
      <c r="B51" s="9" t="s">
        <v>19</v>
      </c>
      <c r="C51" s="9"/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6">
        <f t="shared" si="4"/>
        <v>0</v>
      </c>
    </row>
    <row r="52" spans="1:17">
      <c r="A52" s="26" t="s">
        <v>63</v>
      </c>
      <c r="B52" s="9" t="s">
        <v>20</v>
      </c>
      <c r="C52" s="9"/>
      <c r="D52" s="85">
        <v>0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6">
        <f t="shared" si="4"/>
        <v>0</v>
      </c>
    </row>
    <row r="53" spans="1:17">
      <c r="A53" s="87"/>
      <c r="B53" s="94" t="s">
        <v>21</v>
      </c>
      <c r="C53" s="89"/>
      <c r="D53" s="90">
        <f>SUM(D47:D52)</f>
        <v>0</v>
      </c>
      <c r="E53" s="90">
        <f t="shared" ref="E53:O53" si="11">SUM(E47:E52)</f>
        <v>0</v>
      </c>
      <c r="F53" s="90">
        <f t="shared" si="11"/>
        <v>0</v>
      </c>
      <c r="G53" s="90">
        <f t="shared" si="11"/>
        <v>0</v>
      </c>
      <c r="H53" s="90">
        <f t="shared" si="11"/>
        <v>0</v>
      </c>
      <c r="I53" s="90">
        <f t="shared" si="11"/>
        <v>0</v>
      </c>
      <c r="J53" s="90">
        <f t="shared" si="11"/>
        <v>0</v>
      </c>
      <c r="K53" s="90">
        <f t="shared" si="11"/>
        <v>0</v>
      </c>
      <c r="L53" s="90">
        <f t="shared" si="11"/>
        <v>0</v>
      </c>
      <c r="M53" s="90">
        <f t="shared" si="11"/>
        <v>0</v>
      </c>
      <c r="N53" s="90">
        <f t="shared" si="11"/>
        <v>0</v>
      </c>
      <c r="O53" s="90">
        <f t="shared" si="11"/>
        <v>0</v>
      </c>
      <c r="P53" s="91">
        <f t="shared" si="4"/>
        <v>0</v>
      </c>
    </row>
    <row r="54" spans="1:17">
      <c r="A54" s="26" t="s">
        <v>64</v>
      </c>
      <c r="B54" s="9" t="s">
        <v>22</v>
      </c>
      <c r="C54" s="9"/>
      <c r="D54" s="85">
        <f>5000+2000+10000+20000</f>
        <v>37000</v>
      </c>
      <c r="E54" s="85">
        <f>5000+2000+10000+20000</f>
        <v>37000</v>
      </c>
      <c r="F54" s="85">
        <f>5000+2000+10000+20000</f>
        <v>37000</v>
      </c>
      <c r="G54" s="85">
        <f>5000+2000+10000+20000</f>
        <v>37000</v>
      </c>
      <c r="H54" s="85">
        <f>5000+2000+10000+20000</f>
        <v>37000</v>
      </c>
      <c r="I54" s="85">
        <f>7000+2000+10000+20000</f>
        <v>39000</v>
      </c>
      <c r="J54" s="85">
        <f t="shared" ref="J54:O54" si="12">7000+2000+10000+20000</f>
        <v>39000</v>
      </c>
      <c r="K54" s="85">
        <f t="shared" si="12"/>
        <v>39000</v>
      </c>
      <c r="L54" s="85">
        <f t="shared" si="12"/>
        <v>39000</v>
      </c>
      <c r="M54" s="85">
        <f t="shared" si="12"/>
        <v>39000</v>
      </c>
      <c r="N54" s="85">
        <f t="shared" si="12"/>
        <v>39000</v>
      </c>
      <c r="O54" s="85">
        <f t="shared" si="12"/>
        <v>39000</v>
      </c>
      <c r="P54" s="86">
        <f t="shared" si="4"/>
        <v>458000</v>
      </c>
      <c r="Q54" s="1">
        <f>24000+120000+240000+74000</f>
        <v>458000</v>
      </c>
    </row>
    <row r="55" spans="1:17">
      <c r="A55" s="26" t="s">
        <v>65</v>
      </c>
      <c r="B55" s="9" t="s">
        <v>23</v>
      </c>
      <c r="C55" s="9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6">
        <f t="shared" si="4"/>
        <v>0</v>
      </c>
    </row>
    <row r="56" spans="1:17">
      <c r="A56" s="26" t="s">
        <v>64</v>
      </c>
      <c r="B56" s="9" t="s">
        <v>24</v>
      </c>
      <c r="C56" s="9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>
        <f t="shared" si="4"/>
        <v>0</v>
      </c>
    </row>
    <row r="57" spans="1:17">
      <c r="A57" s="87"/>
      <c r="B57" s="94" t="s">
        <v>25</v>
      </c>
      <c r="C57" s="89"/>
      <c r="D57" s="90">
        <f>SUM(D54:D56)</f>
        <v>37000</v>
      </c>
      <c r="E57" s="90">
        <f t="shared" ref="E57:O57" si="13">SUM(E54:E56)</f>
        <v>37000</v>
      </c>
      <c r="F57" s="90">
        <f t="shared" si="13"/>
        <v>37000</v>
      </c>
      <c r="G57" s="90">
        <f t="shared" si="13"/>
        <v>37000</v>
      </c>
      <c r="H57" s="90">
        <f t="shared" si="13"/>
        <v>37000</v>
      </c>
      <c r="I57" s="90">
        <f t="shared" si="13"/>
        <v>39000</v>
      </c>
      <c r="J57" s="90">
        <f t="shared" si="13"/>
        <v>39000</v>
      </c>
      <c r="K57" s="90">
        <f t="shared" si="13"/>
        <v>39000</v>
      </c>
      <c r="L57" s="90">
        <f t="shared" si="13"/>
        <v>39000</v>
      </c>
      <c r="M57" s="90">
        <f t="shared" si="13"/>
        <v>39000</v>
      </c>
      <c r="N57" s="90">
        <f t="shared" si="13"/>
        <v>39000</v>
      </c>
      <c r="O57" s="90">
        <f t="shared" si="13"/>
        <v>39000</v>
      </c>
      <c r="P57" s="91">
        <f t="shared" si="4"/>
        <v>458000</v>
      </c>
    </row>
    <row r="58" spans="1:17">
      <c r="A58" s="26" t="s">
        <v>66</v>
      </c>
      <c r="B58" s="9" t="s">
        <v>26</v>
      </c>
      <c r="C58" s="9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6">
        <f t="shared" si="4"/>
        <v>0</v>
      </c>
    </row>
    <row r="59" spans="1:17">
      <c r="A59" s="26" t="s">
        <v>67</v>
      </c>
      <c r="B59" s="9" t="s">
        <v>27</v>
      </c>
      <c r="C59" s="9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6">
        <f t="shared" si="4"/>
        <v>0</v>
      </c>
    </row>
    <row r="60" spans="1:17">
      <c r="A60" s="26" t="s">
        <v>68</v>
      </c>
      <c r="B60" s="9" t="s">
        <v>28</v>
      </c>
      <c r="C60" s="9"/>
      <c r="D60" s="85">
        <v>2500</v>
      </c>
      <c r="E60" s="85">
        <v>2500</v>
      </c>
      <c r="F60" s="85">
        <v>2500</v>
      </c>
      <c r="G60" s="85">
        <v>2500</v>
      </c>
      <c r="H60" s="85">
        <v>2500</v>
      </c>
      <c r="I60" s="85">
        <v>3500</v>
      </c>
      <c r="J60" s="85">
        <v>3500</v>
      </c>
      <c r="K60" s="85">
        <v>3500</v>
      </c>
      <c r="L60" s="85">
        <v>3500</v>
      </c>
      <c r="M60" s="85">
        <v>3500</v>
      </c>
      <c r="N60" s="85">
        <v>3500</v>
      </c>
      <c r="O60" s="85">
        <v>3500</v>
      </c>
      <c r="P60" s="86">
        <f t="shared" si="4"/>
        <v>37000</v>
      </c>
      <c r="Q60" s="1">
        <v>37000</v>
      </c>
    </row>
    <row r="61" spans="1:17">
      <c r="A61" s="26" t="s">
        <v>69</v>
      </c>
      <c r="B61" s="9" t="s">
        <v>29</v>
      </c>
      <c r="C61" s="9"/>
      <c r="D61" s="85">
        <v>500</v>
      </c>
      <c r="E61" s="85">
        <v>500</v>
      </c>
      <c r="F61" s="85">
        <v>500</v>
      </c>
      <c r="G61" s="85">
        <v>500</v>
      </c>
      <c r="H61" s="85">
        <v>500</v>
      </c>
      <c r="I61" s="85">
        <v>500</v>
      </c>
      <c r="J61" s="85">
        <v>500</v>
      </c>
      <c r="K61" s="85">
        <v>500</v>
      </c>
      <c r="L61" s="85">
        <v>500</v>
      </c>
      <c r="M61" s="85">
        <v>500</v>
      </c>
      <c r="N61" s="85">
        <v>500</v>
      </c>
      <c r="O61" s="85">
        <v>500</v>
      </c>
      <c r="P61" s="86">
        <f t="shared" si="4"/>
        <v>6000</v>
      </c>
      <c r="Q61" s="1">
        <v>6000</v>
      </c>
    </row>
    <row r="62" spans="1:17">
      <c r="A62" s="26" t="s">
        <v>67</v>
      </c>
      <c r="B62" s="9" t="s">
        <v>30</v>
      </c>
      <c r="C62" s="9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6">
        <f t="shared" si="4"/>
        <v>0</v>
      </c>
    </row>
    <row r="63" spans="1:17">
      <c r="A63" s="26" t="s">
        <v>67</v>
      </c>
      <c r="B63" s="9" t="s">
        <v>31</v>
      </c>
      <c r="C63" s="9"/>
      <c r="D63" s="85">
        <v>10000</v>
      </c>
      <c r="E63" s="85">
        <v>10000</v>
      </c>
      <c r="F63" s="85">
        <v>10000</v>
      </c>
      <c r="G63" s="85">
        <v>10000</v>
      </c>
      <c r="H63" s="85">
        <v>10000</v>
      </c>
      <c r="I63" s="85">
        <v>10000</v>
      </c>
      <c r="J63" s="85">
        <v>10000</v>
      </c>
      <c r="K63" s="85">
        <v>10000</v>
      </c>
      <c r="L63" s="85">
        <v>10000</v>
      </c>
      <c r="M63" s="85">
        <v>10000</v>
      </c>
      <c r="N63" s="85">
        <v>10000</v>
      </c>
      <c r="O63" s="85">
        <v>10000</v>
      </c>
      <c r="P63" s="86">
        <f t="shared" si="4"/>
        <v>120000</v>
      </c>
      <c r="Q63" s="1">
        <v>120000</v>
      </c>
    </row>
    <row r="64" spans="1:17">
      <c r="A64" s="26" t="s">
        <v>68</v>
      </c>
      <c r="B64" s="9" t="s">
        <v>32</v>
      </c>
      <c r="C64" s="9"/>
      <c r="D64" s="85">
        <v>500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>
        <f t="shared" si="4"/>
        <v>500</v>
      </c>
    </row>
    <row r="65" spans="1:17">
      <c r="A65" s="87"/>
      <c r="B65" s="94" t="s">
        <v>33</v>
      </c>
      <c r="C65" s="89"/>
      <c r="D65" s="90">
        <f>SUM(D58:D64)</f>
        <v>13500</v>
      </c>
      <c r="E65" s="90">
        <f t="shared" ref="E65:O65" si="14">SUM(E58:E64)</f>
        <v>13000</v>
      </c>
      <c r="F65" s="90">
        <f t="shared" si="14"/>
        <v>13000</v>
      </c>
      <c r="G65" s="90">
        <f t="shared" si="14"/>
        <v>13000</v>
      </c>
      <c r="H65" s="90">
        <f t="shared" si="14"/>
        <v>13000</v>
      </c>
      <c r="I65" s="90">
        <f t="shared" si="14"/>
        <v>14000</v>
      </c>
      <c r="J65" s="90">
        <f t="shared" si="14"/>
        <v>14000</v>
      </c>
      <c r="K65" s="90">
        <f t="shared" si="14"/>
        <v>14000</v>
      </c>
      <c r="L65" s="90">
        <f t="shared" si="14"/>
        <v>14000</v>
      </c>
      <c r="M65" s="90">
        <f t="shared" si="14"/>
        <v>14000</v>
      </c>
      <c r="N65" s="90">
        <f t="shared" si="14"/>
        <v>14000</v>
      </c>
      <c r="O65" s="90">
        <f t="shared" si="14"/>
        <v>14000</v>
      </c>
      <c r="P65" s="91">
        <f t="shared" ref="P65:P85" si="15">SUM(D65:O65)</f>
        <v>163500</v>
      </c>
    </row>
    <row r="66" spans="1:17">
      <c r="A66" s="26" t="s">
        <v>70</v>
      </c>
      <c r="B66" s="9" t="s">
        <v>34</v>
      </c>
      <c r="C66" s="9"/>
      <c r="D66" s="85">
        <v>2000</v>
      </c>
      <c r="E66" s="85">
        <v>2000</v>
      </c>
      <c r="F66" s="85">
        <v>2000</v>
      </c>
      <c r="G66" s="85">
        <v>2000</v>
      </c>
      <c r="H66" s="85">
        <v>2000</v>
      </c>
      <c r="I66" s="85">
        <v>2000</v>
      </c>
      <c r="J66" s="85">
        <v>2000</v>
      </c>
      <c r="K66" s="85">
        <v>2000</v>
      </c>
      <c r="L66" s="85">
        <v>2000</v>
      </c>
      <c r="M66" s="85">
        <v>2000</v>
      </c>
      <c r="N66" s="85">
        <v>2000</v>
      </c>
      <c r="O66" s="85">
        <v>2000</v>
      </c>
      <c r="P66" s="86">
        <f t="shared" si="15"/>
        <v>24000</v>
      </c>
      <c r="Q66" s="1">
        <v>24000</v>
      </c>
    </row>
    <row r="67" spans="1:17">
      <c r="A67" s="26" t="s">
        <v>71</v>
      </c>
      <c r="B67" s="9" t="s">
        <v>35</v>
      </c>
      <c r="C67" s="9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6">
        <f t="shared" si="15"/>
        <v>0</v>
      </c>
    </row>
    <row r="68" spans="1:17">
      <c r="A68" s="26" t="s">
        <v>71</v>
      </c>
      <c r="B68" s="9" t="s">
        <v>36</v>
      </c>
      <c r="C68" s="9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6">
        <f t="shared" si="15"/>
        <v>0</v>
      </c>
    </row>
    <row r="69" spans="1:17">
      <c r="A69" s="26" t="s">
        <v>70</v>
      </c>
      <c r="B69" s="9" t="s">
        <v>37</v>
      </c>
      <c r="C69" s="9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6">
        <f t="shared" si="15"/>
        <v>0</v>
      </c>
    </row>
    <row r="70" spans="1:17">
      <c r="A70" s="87"/>
      <c r="B70" s="94" t="s">
        <v>38</v>
      </c>
      <c r="C70" s="89"/>
      <c r="D70" s="90">
        <f>SUM(D66:D69)</f>
        <v>2000</v>
      </c>
      <c r="E70" s="90">
        <f t="shared" ref="E70:O70" si="16">SUM(E66:E69)</f>
        <v>2000</v>
      </c>
      <c r="F70" s="90">
        <f t="shared" si="16"/>
        <v>2000</v>
      </c>
      <c r="G70" s="90">
        <f t="shared" si="16"/>
        <v>2000</v>
      </c>
      <c r="H70" s="90">
        <f t="shared" si="16"/>
        <v>2000</v>
      </c>
      <c r="I70" s="90">
        <f t="shared" si="16"/>
        <v>2000</v>
      </c>
      <c r="J70" s="90">
        <f t="shared" si="16"/>
        <v>2000</v>
      </c>
      <c r="K70" s="90">
        <f t="shared" si="16"/>
        <v>2000</v>
      </c>
      <c r="L70" s="90">
        <f t="shared" si="16"/>
        <v>2000</v>
      </c>
      <c r="M70" s="90">
        <f t="shared" si="16"/>
        <v>2000</v>
      </c>
      <c r="N70" s="90">
        <f t="shared" si="16"/>
        <v>2000</v>
      </c>
      <c r="O70" s="90">
        <f t="shared" si="16"/>
        <v>2000</v>
      </c>
      <c r="P70" s="91">
        <f t="shared" si="15"/>
        <v>24000</v>
      </c>
    </row>
    <row r="71" spans="1:17">
      <c r="A71" s="26" t="s">
        <v>72</v>
      </c>
      <c r="B71" s="43" t="s">
        <v>39</v>
      </c>
      <c r="C71" s="9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6">
        <f t="shared" si="15"/>
        <v>0</v>
      </c>
    </row>
    <row r="72" spans="1:17">
      <c r="A72" s="26" t="s">
        <v>73</v>
      </c>
      <c r="B72" s="9" t="s">
        <v>40</v>
      </c>
      <c r="C72" s="9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6">
        <f t="shared" si="15"/>
        <v>0</v>
      </c>
    </row>
    <row r="73" spans="1:17">
      <c r="A73" s="26" t="s">
        <v>74</v>
      </c>
      <c r="B73" s="9" t="s">
        <v>41</v>
      </c>
      <c r="C73" s="9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6">
        <f t="shared" si="15"/>
        <v>0</v>
      </c>
    </row>
    <row r="74" spans="1:17">
      <c r="A74" s="87"/>
      <c r="B74" s="94" t="s">
        <v>42</v>
      </c>
      <c r="C74" s="89"/>
      <c r="D74" s="90">
        <f>SUM(D72:D73)</f>
        <v>0</v>
      </c>
      <c r="E74" s="90">
        <f t="shared" ref="E74:O74" si="17">SUM(E72:E73)</f>
        <v>0</v>
      </c>
      <c r="F74" s="90">
        <f t="shared" si="17"/>
        <v>0</v>
      </c>
      <c r="G74" s="90">
        <f t="shared" si="17"/>
        <v>0</v>
      </c>
      <c r="H74" s="90">
        <f t="shared" si="17"/>
        <v>0</v>
      </c>
      <c r="I74" s="90">
        <f t="shared" si="17"/>
        <v>0</v>
      </c>
      <c r="J74" s="90">
        <f t="shared" si="17"/>
        <v>0</v>
      </c>
      <c r="K74" s="90">
        <f t="shared" si="17"/>
        <v>0</v>
      </c>
      <c r="L74" s="90">
        <f t="shared" si="17"/>
        <v>0</v>
      </c>
      <c r="M74" s="90">
        <f t="shared" si="17"/>
        <v>0</v>
      </c>
      <c r="N74" s="90">
        <f t="shared" si="17"/>
        <v>0</v>
      </c>
      <c r="O74" s="90">
        <f t="shared" si="17"/>
        <v>0</v>
      </c>
      <c r="P74" s="91">
        <f t="shared" si="15"/>
        <v>0</v>
      </c>
    </row>
    <row r="75" spans="1:17">
      <c r="A75" s="26" t="s">
        <v>75</v>
      </c>
      <c r="B75" s="9" t="s">
        <v>43</v>
      </c>
      <c r="C75" s="8"/>
      <c r="D75" s="85">
        <v>22500</v>
      </c>
      <c r="E75" s="85">
        <v>22500</v>
      </c>
      <c r="F75" s="85">
        <v>22500</v>
      </c>
      <c r="G75" s="85">
        <v>22500</v>
      </c>
      <c r="H75" s="85">
        <v>22500</v>
      </c>
      <c r="I75" s="85">
        <v>22500</v>
      </c>
      <c r="J75" s="85">
        <v>22500</v>
      </c>
      <c r="K75" s="85">
        <v>22500</v>
      </c>
      <c r="L75" s="85">
        <v>22500</v>
      </c>
      <c r="M75" s="85">
        <v>22500</v>
      </c>
      <c r="N75" s="85">
        <v>22500</v>
      </c>
      <c r="O75" s="85">
        <v>22500</v>
      </c>
      <c r="P75" s="86">
        <f t="shared" si="15"/>
        <v>270000</v>
      </c>
      <c r="Q75" s="1">
        <v>270000</v>
      </c>
    </row>
    <row r="76" spans="1:17">
      <c r="A76" s="26" t="s">
        <v>76</v>
      </c>
      <c r="B76" s="9" t="s">
        <v>44</v>
      </c>
      <c r="C76" s="8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6">
        <f t="shared" si="15"/>
        <v>0</v>
      </c>
    </row>
    <row r="77" spans="1:17">
      <c r="A77" s="26" t="s">
        <v>77</v>
      </c>
      <c r="B77" s="9" t="s">
        <v>50</v>
      </c>
      <c r="C77" s="8"/>
      <c r="D77" s="85">
        <v>20000</v>
      </c>
      <c r="E77" s="85">
        <v>20000</v>
      </c>
      <c r="F77" s="85">
        <v>20000</v>
      </c>
      <c r="G77" s="85">
        <v>20000</v>
      </c>
      <c r="H77" s="85">
        <v>20000</v>
      </c>
      <c r="I77" s="85">
        <v>20000</v>
      </c>
      <c r="J77" s="85">
        <v>20000</v>
      </c>
      <c r="K77" s="85">
        <v>20000</v>
      </c>
      <c r="L77" s="85">
        <v>20000</v>
      </c>
      <c r="M77" s="85">
        <v>20000</v>
      </c>
      <c r="N77" s="85">
        <v>20000</v>
      </c>
      <c r="O77" s="85">
        <v>20000</v>
      </c>
      <c r="P77" s="86">
        <f t="shared" si="15"/>
        <v>240000</v>
      </c>
      <c r="Q77" s="1">
        <v>240000</v>
      </c>
    </row>
    <row r="78" spans="1:17">
      <c r="A78" s="26" t="s">
        <v>78</v>
      </c>
      <c r="B78" s="9" t="s">
        <v>51</v>
      </c>
      <c r="C78" s="8"/>
      <c r="D78" s="85">
        <v>45000</v>
      </c>
      <c r="E78" s="85">
        <v>45000</v>
      </c>
      <c r="F78" s="85">
        <v>45000</v>
      </c>
      <c r="G78" s="85">
        <v>45000</v>
      </c>
      <c r="H78" s="85">
        <v>45000</v>
      </c>
      <c r="I78" s="85">
        <v>45000</v>
      </c>
      <c r="J78" s="85">
        <v>45000</v>
      </c>
      <c r="K78" s="85">
        <v>45000</v>
      </c>
      <c r="L78" s="85">
        <v>45000</v>
      </c>
      <c r="M78" s="85">
        <v>45000</v>
      </c>
      <c r="N78" s="85">
        <v>45000</v>
      </c>
      <c r="O78" s="85">
        <v>45000</v>
      </c>
      <c r="P78" s="86">
        <f t="shared" si="15"/>
        <v>540000</v>
      </c>
      <c r="Q78" s="1">
        <v>540000</v>
      </c>
    </row>
    <row r="79" spans="1:17">
      <c r="A79" s="26" t="s">
        <v>63</v>
      </c>
      <c r="B79" s="9" t="s">
        <v>52</v>
      </c>
      <c r="C79" s="8"/>
      <c r="D79" s="85">
        <f>(Assumptions!$B$27*Research!D17)+(Assumptions!$B$25*Research!D18)</f>
        <v>22254</v>
      </c>
      <c r="E79" s="85">
        <f>(Assumptions!$B$27*Research!E17)+(Assumptions!$B$25*Research!E18)</f>
        <v>22254</v>
      </c>
      <c r="F79" s="85">
        <f>(Assumptions!$B$27*Research!F17)+(Assumptions!$B$25*Research!F18)</f>
        <v>22254</v>
      </c>
      <c r="G79" s="85">
        <f>(Assumptions!$B$27*Research!G17)+(Assumptions!$B$25*Research!G18)</f>
        <v>22254</v>
      </c>
      <c r="H79" s="85">
        <f>(Assumptions!$B$27*Research!H17)+(Assumptions!$B$25*Research!H18)</f>
        <v>22254</v>
      </c>
      <c r="I79" s="85">
        <f>(Assumptions!$B$27*Research!I17)+(Assumptions!$B$25*Research!I18)</f>
        <v>22254</v>
      </c>
      <c r="J79" s="85">
        <f>(Assumptions!$B$27*Research!J17)+(Assumptions!$B$25*Research!J18)</f>
        <v>22254</v>
      </c>
      <c r="K79" s="85">
        <f>(Assumptions!$B$27*Research!K17)+(Assumptions!$B$25*Research!K18)</f>
        <v>22254</v>
      </c>
      <c r="L79" s="85">
        <f>(Assumptions!$B$27*Research!L17)+(Assumptions!$B$25*Research!L18)</f>
        <v>22254</v>
      </c>
      <c r="M79" s="85">
        <f>(Assumptions!$B$27*Research!M17)+(Assumptions!$B$25*Research!M18)</f>
        <v>22254</v>
      </c>
      <c r="N79" s="85">
        <f>(Assumptions!$B$27*Research!N17)+(Assumptions!$B$25*Research!N18)</f>
        <v>22254</v>
      </c>
      <c r="O79" s="85">
        <f>(Assumptions!$B$27*Research!O17)+(Assumptions!$B$25*Research!O18)</f>
        <v>22254</v>
      </c>
      <c r="P79" s="86">
        <f t="shared" si="15"/>
        <v>267048</v>
      </c>
    </row>
    <row r="80" spans="1:17">
      <c r="A80" s="26" t="s">
        <v>63</v>
      </c>
      <c r="B80" s="9" t="s">
        <v>45</v>
      </c>
      <c r="C80" s="8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6">
        <f t="shared" si="15"/>
        <v>0</v>
      </c>
    </row>
    <row r="81" spans="1:17">
      <c r="A81" s="87"/>
      <c r="B81" s="94" t="s">
        <v>46</v>
      </c>
      <c r="C81" s="89"/>
      <c r="D81" s="90">
        <f>D35+D38+D46+D53+D57+D65+D70+D71+D74+SUM(D75:D80)</f>
        <v>908035.125</v>
      </c>
      <c r="E81" s="90">
        <f t="shared" ref="E81:O81" si="18">E35+E38+E46+E53+E57+E65+E70+E71+E74+SUM(E75:E80)</f>
        <v>871954.03749999998</v>
      </c>
      <c r="F81" s="90">
        <f t="shared" si="18"/>
        <v>871954.03749999998</v>
      </c>
      <c r="G81" s="90">
        <f t="shared" si="18"/>
        <v>871954.03749999998</v>
      </c>
      <c r="H81" s="90">
        <f t="shared" si="18"/>
        <v>871954.03749999998</v>
      </c>
      <c r="I81" s="90">
        <f t="shared" si="18"/>
        <v>874954.03749999998</v>
      </c>
      <c r="J81" s="90">
        <f t="shared" si="18"/>
        <v>874954.03749999998</v>
      </c>
      <c r="K81" s="90">
        <f t="shared" si="18"/>
        <v>874954.03749999998</v>
      </c>
      <c r="L81" s="90">
        <f t="shared" si="18"/>
        <v>874954.03749999998</v>
      </c>
      <c r="M81" s="90">
        <f t="shared" si="18"/>
        <v>874954.03749999998</v>
      </c>
      <c r="N81" s="90">
        <f t="shared" si="18"/>
        <v>874954.03749999998</v>
      </c>
      <c r="O81" s="90">
        <f t="shared" si="18"/>
        <v>874954.03749999998</v>
      </c>
      <c r="P81" s="91">
        <f t="shared" si="15"/>
        <v>10520529.537499998</v>
      </c>
    </row>
    <row r="82" spans="1:17">
      <c r="A82" s="26" t="s">
        <v>79</v>
      </c>
      <c r="B82" s="9" t="s">
        <v>47</v>
      </c>
      <c r="C82" s="8"/>
      <c r="D82" s="85">
        <v>0</v>
      </c>
      <c r="E82" s="85">
        <v>0</v>
      </c>
      <c r="F82" s="85">
        <v>0</v>
      </c>
      <c r="G82" s="85">
        <v>0</v>
      </c>
      <c r="H82" s="85">
        <v>0</v>
      </c>
      <c r="I82" s="85">
        <v>0</v>
      </c>
      <c r="J82" s="85">
        <v>0</v>
      </c>
      <c r="K82" s="85">
        <v>0</v>
      </c>
      <c r="L82" s="85">
        <v>0</v>
      </c>
      <c r="M82" s="85">
        <v>0</v>
      </c>
      <c r="N82" s="85">
        <v>0</v>
      </c>
      <c r="O82" s="85">
        <v>0</v>
      </c>
      <c r="P82" s="86">
        <f t="shared" si="15"/>
        <v>0</v>
      </c>
    </row>
    <row r="83" spans="1:17">
      <c r="A83" s="26" t="s">
        <v>80</v>
      </c>
      <c r="B83" s="9" t="s">
        <v>48</v>
      </c>
      <c r="C83" s="8"/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6">
        <f t="shared" si="15"/>
        <v>0</v>
      </c>
    </row>
    <row r="84" spans="1:17">
      <c r="A84" s="95"/>
      <c r="B84" s="94" t="s">
        <v>96</v>
      </c>
      <c r="C84" s="89"/>
      <c r="D84" s="90">
        <f>SUM(D82:D83)</f>
        <v>0</v>
      </c>
      <c r="E84" s="90">
        <f t="shared" ref="E84:O84" si="19">SUM(E82:E83)</f>
        <v>0</v>
      </c>
      <c r="F84" s="90">
        <f t="shared" si="19"/>
        <v>0</v>
      </c>
      <c r="G84" s="90">
        <f t="shared" si="19"/>
        <v>0</v>
      </c>
      <c r="H84" s="90">
        <f t="shared" si="19"/>
        <v>0</v>
      </c>
      <c r="I84" s="90">
        <f t="shared" si="19"/>
        <v>0</v>
      </c>
      <c r="J84" s="90">
        <f t="shared" si="19"/>
        <v>0</v>
      </c>
      <c r="K84" s="90">
        <f t="shared" si="19"/>
        <v>0</v>
      </c>
      <c r="L84" s="90">
        <f t="shared" si="19"/>
        <v>0</v>
      </c>
      <c r="M84" s="90">
        <f t="shared" si="19"/>
        <v>0</v>
      </c>
      <c r="N84" s="90">
        <f t="shared" si="19"/>
        <v>0</v>
      </c>
      <c r="O84" s="90">
        <f t="shared" si="19"/>
        <v>0</v>
      </c>
      <c r="P84" s="91">
        <f t="shared" si="15"/>
        <v>0</v>
      </c>
    </row>
    <row r="85" spans="1:17">
      <c r="A85" s="37" t="s">
        <v>81</v>
      </c>
      <c r="B85" s="44" t="s">
        <v>53</v>
      </c>
      <c r="C85" s="30"/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6">
        <f t="shared" si="15"/>
        <v>0</v>
      </c>
    </row>
    <row r="86" spans="1:17">
      <c r="A86" s="28"/>
      <c r="B86" s="45" t="s">
        <v>49</v>
      </c>
      <c r="C86" s="29"/>
      <c r="D86" s="96">
        <f>D84+D81+D85</f>
        <v>908035.125</v>
      </c>
      <c r="E86" s="96">
        <f t="shared" ref="E86:O86" si="20">E84+E81+E85</f>
        <v>871954.03749999998</v>
      </c>
      <c r="F86" s="96">
        <f t="shared" si="20"/>
        <v>871954.03749999998</v>
      </c>
      <c r="G86" s="96">
        <f t="shared" si="20"/>
        <v>871954.03749999998</v>
      </c>
      <c r="H86" s="96">
        <f t="shared" si="20"/>
        <v>871954.03749999998</v>
      </c>
      <c r="I86" s="96">
        <f t="shared" si="20"/>
        <v>874954.03749999998</v>
      </c>
      <c r="J86" s="96">
        <f t="shared" si="20"/>
        <v>874954.03749999998</v>
      </c>
      <c r="K86" s="96">
        <f t="shared" si="20"/>
        <v>874954.03749999998</v>
      </c>
      <c r="L86" s="96">
        <f t="shared" si="20"/>
        <v>874954.03749999998</v>
      </c>
      <c r="M86" s="96">
        <f t="shared" si="20"/>
        <v>874954.03749999998</v>
      </c>
      <c r="N86" s="96">
        <f t="shared" si="20"/>
        <v>874954.03749999998</v>
      </c>
      <c r="O86" s="96">
        <f t="shared" si="20"/>
        <v>874954.03749999998</v>
      </c>
      <c r="P86" s="97">
        <f>P84+P81+P85</f>
        <v>10520529.537499998</v>
      </c>
      <c r="Q86" s="1">
        <f>SUM(Q31:Q85)</f>
        <v>9814519</v>
      </c>
    </row>
    <row r="87" spans="1:17">
      <c r="D87" s="46"/>
    </row>
    <row r="88" spans="1:17">
      <c r="A88" s="4" t="str">
        <f ca="1">CELL("FILENAME")</f>
        <v>O:\Fin_Ops\Finrpt\2001\2001 Plan\O&amp;M Reporting\Budget\Research\[Research 2001 budget as of 0922.xls]Research</v>
      </c>
      <c r="D88" s="46"/>
    </row>
    <row r="89" spans="1:17">
      <c r="D89" s="46"/>
    </row>
    <row r="90" spans="1:17">
      <c r="D90" s="46"/>
    </row>
    <row r="91" spans="1:17">
      <c r="D91" s="46"/>
    </row>
    <row r="92" spans="1:17">
      <c r="D92" s="46"/>
    </row>
    <row r="93" spans="1:17">
      <c r="D93" s="46"/>
    </row>
    <row r="94" spans="1:17">
      <c r="D94" s="46"/>
    </row>
    <row r="95" spans="1:17">
      <c r="D95" s="46"/>
    </row>
    <row r="96" spans="1:17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rowBreaks count="1" manualBreakCount="1">
    <brk id="30" max="1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ColWidth="9.33203125" defaultRowHeight="13.8"/>
  <cols>
    <col min="1" max="1" width="13.109375" style="1" customWidth="1"/>
    <col min="2" max="2" width="12.7773437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5" customFormat="1">
      <c r="A1" s="25" t="s">
        <v>84</v>
      </c>
      <c r="C1" s="2" t="e">
        <f>+#REF!</f>
        <v>#REF!</v>
      </c>
      <c r="D1" s="2"/>
      <c r="G1" s="7"/>
    </row>
    <row r="2" spans="1:16" s="5" customFormat="1">
      <c r="A2" s="25" t="s">
        <v>86</v>
      </c>
      <c r="C2" s="2" t="e">
        <f>+#REF!</f>
        <v>#REF!</v>
      </c>
      <c r="D2" s="2"/>
      <c r="G2" s="7"/>
      <c r="H2" s="7"/>
      <c r="N2" s="25"/>
    </row>
    <row r="3" spans="1:16" s="5" customFormat="1">
      <c r="A3" s="25" t="s">
        <v>85</v>
      </c>
      <c r="C3" s="2" t="e">
        <f>+#REF!</f>
        <v>#REF!</v>
      </c>
      <c r="D3" s="2"/>
      <c r="H3" s="7"/>
      <c r="P3" s="17"/>
    </row>
    <row r="4" spans="1:16" s="5" customFormat="1">
      <c r="C4" s="6"/>
      <c r="D4" s="2"/>
      <c r="H4" s="7"/>
    </row>
    <row r="5" spans="1:16" s="5" customFormat="1">
      <c r="A5" s="31" t="s">
        <v>89</v>
      </c>
      <c r="B5" s="38" t="s">
        <v>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 t="s">
        <v>82</v>
      </c>
    </row>
    <row r="6" spans="1:16" s="5" customFormat="1">
      <c r="A6" s="34" t="s">
        <v>92</v>
      </c>
      <c r="B6" s="39" t="s">
        <v>90</v>
      </c>
      <c r="C6" s="35">
        <v>36892</v>
      </c>
      <c r="D6" s="35">
        <v>36923</v>
      </c>
      <c r="E6" s="35">
        <v>36951</v>
      </c>
      <c r="F6" s="35">
        <v>36982</v>
      </c>
      <c r="G6" s="35">
        <v>37012</v>
      </c>
      <c r="H6" s="35">
        <v>37043</v>
      </c>
      <c r="I6" s="35">
        <v>37073</v>
      </c>
      <c r="J6" s="35">
        <v>37104</v>
      </c>
      <c r="K6" s="35">
        <v>37135</v>
      </c>
      <c r="L6" s="35">
        <v>37165</v>
      </c>
      <c r="M6" s="35">
        <v>37196</v>
      </c>
      <c r="N6" s="35">
        <v>37226</v>
      </c>
      <c r="O6" s="36" t="s">
        <v>83</v>
      </c>
    </row>
    <row r="7" spans="1:16">
      <c r="A7" s="12" t="e">
        <f>+#REF!</f>
        <v>#REF!</v>
      </c>
      <c r="B7" s="12" t="s">
        <v>54</v>
      </c>
      <c r="C7" s="14" t="e">
        <f>+#REF!+#REF!</f>
        <v>#REF!</v>
      </c>
      <c r="D7" s="14" t="e">
        <f>+#REF!+#REF!</f>
        <v>#REF!</v>
      </c>
      <c r="E7" s="14" t="e">
        <f>+#REF!+#REF!</f>
        <v>#REF!</v>
      </c>
      <c r="F7" s="14" t="e">
        <f>+#REF!+#REF!</f>
        <v>#REF!</v>
      </c>
      <c r="G7" s="14" t="e">
        <f>+#REF!+#REF!</f>
        <v>#REF!</v>
      </c>
      <c r="H7" s="14" t="e">
        <f>+#REF!+#REF!</f>
        <v>#REF!</v>
      </c>
      <c r="I7" s="14" t="e">
        <f>+#REF!+#REF!</f>
        <v>#REF!</v>
      </c>
      <c r="J7" s="14" t="e">
        <f>+#REF!+#REF!</f>
        <v>#REF!</v>
      </c>
      <c r="K7" s="14" t="e">
        <f>+#REF!+#REF!</f>
        <v>#REF!</v>
      </c>
      <c r="L7" s="14" t="e">
        <f>+#REF!+#REF!</f>
        <v>#REF!</v>
      </c>
      <c r="M7" s="14" t="e">
        <f>+#REF!+#REF!</f>
        <v>#REF!</v>
      </c>
      <c r="N7" s="14" t="e">
        <f>+#REF!+#REF!</f>
        <v>#REF!</v>
      </c>
      <c r="O7" s="15" t="e">
        <f>+#REF!+#REF!</f>
        <v>#REF!</v>
      </c>
    </row>
    <row r="8" spans="1:16">
      <c r="A8" s="12" t="e">
        <f>+#REF!</f>
        <v>#REF!</v>
      </c>
      <c r="B8" s="12" t="s">
        <v>55</v>
      </c>
      <c r="C8" s="14" t="e">
        <f>+#REF!</f>
        <v>#REF!</v>
      </c>
      <c r="D8" s="14" t="e">
        <f>+#REF!</f>
        <v>#REF!</v>
      </c>
      <c r="E8" s="14" t="e">
        <f>+#REF!</f>
        <v>#REF!</v>
      </c>
      <c r="F8" s="14" t="e">
        <f>+#REF!</f>
        <v>#REF!</v>
      </c>
      <c r="G8" s="14" t="e">
        <f>+#REF!</f>
        <v>#REF!</v>
      </c>
      <c r="H8" s="14" t="e">
        <f>+#REF!</f>
        <v>#REF!</v>
      </c>
      <c r="I8" s="14" t="e">
        <f>+#REF!</f>
        <v>#REF!</v>
      </c>
      <c r="J8" s="14" t="e">
        <f>+#REF!</f>
        <v>#REF!</v>
      </c>
      <c r="K8" s="14" t="e">
        <f>+#REF!</f>
        <v>#REF!</v>
      </c>
      <c r="L8" s="14" t="e">
        <f>+#REF!</f>
        <v>#REF!</v>
      </c>
      <c r="M8" s="14" t="e">
        <f>+#REF!</f>
        <v>#REF!</v>
      </c>
      <c r="N8" s="14" t="e">
        <f>+#REF!</f>
        <v>#REF!</v>
      </c>
      <c r="O8" s="15" t="e">
        <f>+#REF!</f>
        <v>#REF!</v>
      </c>
    </row>
    <row r="9" spans="1:16">
      <c r="A9" s="12" t="e">
        <f>+#REF!</f>
        <v>#REF!</v>
      </c>
      <c r="B9" s="12" t="s">
        <v>56</v>
      </c>
      <c r="C9" s="14" t="e">
        <f>+#REF!</f>
        <v>#REF!</v>
      </c>
      <c r="D9" s="14" t="e">
        <f>+#REF!</f>
        <v>#REF!</v>
      </c>
      <c r="E9" s="14" t="e">
        <f>+#REF!</f>
        <v>#REF!</v>
      </c>
      <c r="F9" s="14" t="e">
        <f>+#REF!</f>
        <v>#REF!</v>
      </c>
      <c r="G9" s="14" t="e">
        <f>+#REF!</f>
        <v>#REF!</v>
      </c>
      <c r="H9" s="14" t="e">
        <f>+#REF!</f>
        <v>#REF!</v>
      </c>
      <c r="I9" s="14" t="e">
        <f>+#REF!</f>
        <v>#REF!</v>
      </c>
      <c r="J9" s="14" t="e">
        <f>+#REF!</f>
        <v>#REF!</v>
      </c>
      <c r="K9" s="14" t="e">
        <f>+#REF!</f>
        <v>#REF!</v>
      </c>
      <c r="L9" s="14" t="e">
        <f>+#REF!</f>
        <v>#REF!</v>
      </c>
      <c r="M9" s="14" t="e">
        <f>+#REF!</f>
        <v>#REF!</v>
      </c>
      <c r="N9" s="14" t="e">
        <f>+#REF!</f>
        <v>#REF!</v>
      </c>
      <c r="O9" s="15" t="e">
        <f>+#REF!</f>
        <v>#REF!</v>
      </c>
    </row>
    <row r="10" spans="1:16">
      <c r="A10" s="12" t="e">
        <f>+#REF!</f>
        <v>#REF!</v>
      </c>
      <c r="B10" s="12" t="s">
        <v>57</v>
      </c>
      <c r="C10" s="14" t="e">
        <f>+#REF!+#REF!</f>
        <v>#REF!</v>
      </c>
      <c r="D10" s="14" t="e">
        <f>+#REF!+#REF!</f>
        <v>#REF!</v>
      </c>
      <c r="E10" s="14" t="e">
        <f>+#REF!+#REF!</f>
        <v>#REF!</v>
      </c>
      <c r="F10" s="14" t="e">
        <f>+#REF!+#REF!</f>
        <v>#REF!</v>
      </c>
      <c r="G10" s="14" t="e">
        <f>+#REF!+#REF!</f>
        <v>#REF!</v>
      </c>
      <c r="H10" s="14" t="e">
        <f>+#REF!+#REF!</f>
        <v>#REF!</v>
      </c>
      <c r="I10" s="14" t="e">
        <f>+#REF!+#REF!</f>
        <v>#REF!</v>
      </c>
      <c r="J10" s="14" t="e">
        <f>+#REF!+#REF!</f>
        <v>#REF!</v>
      </c>
      <c r="K10" s="14" t="e">
        <f>+#REF!+#REF!</f>
        <v>#REF!</v>
      </c>
      <c r="L10" s="14" t="e">
        <f>+#REF!+#REF!</f>
        <v>#REF!</v>
      </c>
      <c r="M10" s="14" t="e">
        <f>+#REF!+#REF!</f>
        <v>#REF!</v>
      </c>
      <c r="N10" s="14" t="e">
        <f>+#REF!+#REF!</f>
        <v>#REF!</v>
      </c>
      <c r="O10" s="14" t="e">
        <f>+#REF!+#REF!</f>
        <v>#REF!</v>
      </c>
    </row>
    <row r="11" spans="1:16">
      <c r="A11" s="12" t="e">
        <f>+#REF!</f>
        <v>#REF!</v>
      </c>
      <c r="B11" s="12" t="s">
        <v>58</v>
      </c>
      <c r="C11" s="14" t="e">
        <f>+#REF!</f>
        <v>#REF!</v>
      </c>
      <c r="D11" s="14" t="e">
        <f>+#REF!</f>
        <v>#REF!</v>
      </c>
      <c r="E11" s="14" t="e">
        <f>+#REF!</f>
        <v>#REF!</v>
      </c>
      <c r="F11" s="14" t="e">
        <f>+#REF!</f>
        <v>#REF!</v>
      </c>
      <c r="G11" s="14" t="e">
        <f>+#REF!</f>
        <v>#REF!</v>
      </c>
      <c r="H11" s="14" t="e">
        <f>+#REF!</f>
        <v>#REF!</v>
      </c>
      <c r="I11" s="14" t="e">
        <f>+#REF!</f>
        <v>#REF!</v>
      </c>
      <c r="J11" s="14" t="e">
        <f>+#REF!</f>
        <v>#REF!</v>
      </c>
      <c r="K11" s="14" t="e">
        <f>+#REF!</f>
        <v>#REF!</v>
      </c>
      <c r="L11" s="14" t="e">
        <f>+#REF!</f>
        <v>#REF!</v>
      </c>
      <c r="M11" s="14" t="e">
        <f>+#REF!</f>
        <v>#REF!</v>
      </c>
      <c r="N11" s="14" t="e">
        <f>+#REF!</f>
        <v>#REF!</v>
      </c>
      <c r="O11" s="14" t="e">
        <f>+#REF!</f>
        <v>#REF!</v>
      </c>
    </row>
    <row r="12" spans="1:16">
      <c r="A12" s="12" t="e">
        <f>+#REF!</f>
        <v>#REF!</v>
      </c>
      <c r="B12" s="12" t="s">
        <v>59</v>
      </c>
      <c r="C12" s="14" t="e">
        <f>+#REF!</f>
        <v>#REF!</v>
      </c>
      <c r="D12" s="14" t="e">
        <f>+#REF!</f>
        <v>#REF!</v>
      </c>
      <c r="E12" s="14" t="e">
        <f>+#REF!</f>
        <v>#REF!</v>
      </c>
      <c r="F12" s="14" t="e">
        <f>+#REF!</f>
        <v>#REF!</v>
      </c>
      <c r="G12" s="14" t="e">
        <f>+#REF!</f>
        <v>#REF!</v>
      </c>
      <c r="H12" s="14" t="e">
        <f>+#REF!</f>
        <v>#REF!</v>
      </c>
      <c r="I12" s="14" t="e">
        <f>+#REF!</f>
        <v>#REF!</v>
      </c>
      <c r="J12" s="14" t="e">
        <f>+#REF!</f>
        <v>#REF!</v>
      </c>
      <c r="K12" s="14" t="e">
        <f>+#REF!</f>
        <v>#REF!</v>
      </c>
      <c r="L12" s="14" t="e">
        <f>+#REF!</f>
        <v>#REF!</v>
      </c>
      <c r="M12" s="14" t="e">
        <f>+#REF!</f>
        <v>#REF!</v>
      </c>
      <c r="N12" s="14" t="e">
        <f>+#REF!</f>
        <v>#REF!</v>
      </c>
      <c r="O12" s="14" t="e">
        <f>+#REF!</f>
        <v>#REF!</v>
      </c>
    </row>
    <row r="13" spans="1:16">
      <c r="A13" s="12" t="e">
        <f>+#REF!</f>
        <v>#REF!</v>
      </c>
      <c r="B13" s="12" t="s">
        <v>60</v>
      </c>
      <c r="C13" s="14" t="e">
        <f>+#REF!+#REF!+#REF!</f>
        <v>#REF!</v>
      </c>
      <c r="D13" s="14" t="e">
        <f>+#REF!+#REF!+#REF!</f>
        <v>#REF!</v>
      </c>
      <c r="E13" s="14" t="e">
        <f>+#REF!+#REF!+#REF!</f>
        <v>#REF!</v>
      </c>
      <c r="F13" s="14" t="e">
        <f>+#REF!+#REF!+#REF!</f>
        <v>#REF!</v>
      </c>
      <c r="G13" s="14" t="e">
        <f>+#REF!+#REF!+#REF!</f>
        <v>#REF!</v>
      </c>
      <c r="H13" s="14" t="e">
        <f>+#REF!+#REF!+#REF!</f>
        <v>#REF!</v>
      </c>
      <c r="I13" s="14" t="e">
        <f>+#REF!+#REF!+#REF!</f>
        <v>#REF!</v>
      </c>
      <c r="J13" s="14" t="e">
        <f>+#REF!+#REF!+#REF!</f>
        <v>#REF!</v>
      </c>
      <c r="K13" s="14" t="e">
        <f>+#REF!+#REF!+#REF!</f>
        <v>#REF!</v>
      </c>
      <c r="L13" s="14" t="e">
        <f>+#REF!+#REF!+#REF!</f>
        <v>#REF!</v>
      </c>
      <c r="M13" s="14" t="e">
        <f>+#REF!+#REF!+#REF!</f>
        <v>#REF!</v>
      </c>
      <c r="N13" s="14" t="e">
        <f>+#REF!+#REF!+#REF!</f>
        <v>#REF!</v>
      </c>
      <c r="O13" s="14" t="e">
        <f>+#REF!+#REF!+#REF!</f>
        <v>#REF!</v>
      </c>
    </row>
    <row r="14" spans="1:16">
      <c r="A14" s="12" t="e">
        <f>+#REF!</f>
        <v>#REF!</v>
      </c>
      <c r="B14" s="13" t="s">
        <v>61</v>
      </c>
      <c r="C14" s="14" t="e">
        <f>+#REF!</f>
        <v>#REF!</v>
      </c>
      <c r="D14" s="14" t="e">
        <f>+#REF!</f>
        <v>#REF!</v>
      </c>
      <c r="E14" s="14" t="e">
        <f>+#REF!</f>
        <v>#REF!</v>
      </c>
      <c r="F14" s="14" t="e">
        <f>+#REF!</f>
        <v>#REF!</v>
      </c>
      <c r="G14" s="14" t="e">
        <f>+#REF!</f>
        <v>#REF!</v>
      </c>
      <c r="H14" s="14" t="e">
        <f>+#REF!</f>
        <v>#REF!</v>
      </c>
      <c r="I14" s="14" t="e">
        <f>+#REF!</f>
        <v>#REF!</v>
      </c>
      <c r="J14" s="14" t="e">
        <f>+#REF!</f>
        <v>#REF!</v>
      </c>
      <c r="K14" s="14" t="e">
        <f>+#REF!</f>
        <v>#REF!</v>
      </c>
      <c r="L14" s="14" t="e">
        <f>+#REF!</f>
        <v>#REF!</v>
      </c>
      <c r="M14" s="14" t="e">
        <f>+#REF!</f>
        <v>#REF!</v>
      </c>
      <c r="N14" s="14" t="e">
        <f>+#REF!</f>
        <v>#REF!</v>
      </c>
      <c r="O14" s="14" t="e">
        <f>+#REF!</f>
        <v>#REF!</v>
      </c>
    </row>
    <row r="15" spans="1:16">
      <c r="A15" s="12" t="e">
        <f>+#REF!</f>
        <v>#REF!</v>
      </c>
      <c r="B15" s="12" t="s">
        <v>62</v>
      </c>
      <c r="C15" s="14" t="e">
        <f>+#REF!</f>
        <v>#REF!</v>
      </c>
      <c r="D15" s="14" t="e">
        <f>+#REF!</f>
        <v>#REF!</v>
      </c>
      <c r="E15" s="14" t="e">
        <f>+#REF!</f>
        <v>#REF!</v>
      </c>
      <c r="F15" s="14" t="e">
        <f>+#REF!</f>
        <v>#REF!</v>
      </c>
      <c r="G15" s="14" t="e">
        <f>+#REF!</f>
        <v>#REF!</v>
      </c>
      <c r="H15" s="14" t="e">
        <f>+#REF!</f>
        <v>#REF!</v>
      </c>
      <c r="I15" s="14" t="e">
        <f>+#REF!</f>
        <v>#REF!</v>
      </c>
      <c r="J15" s="14" t="e">
        <f>+#REF!</f>
        <v>#REF!</v>
      </c>
      <c r="K15" s="14" t="e">
        <f>+#REF!</f>
        <v>#REF!</v>
      </c>
      <c r="L15" s="14" t="e">
        <f>+#REF!</f>
        <v>#REF!</v>
      </c>
      <c r="M15" s="14" t="e">
        <f>+#REF!</f>
        <v>#REF!</v>
      </c>
      <c r="N15" s="14" t="e">
        <f>+#REF!</f>
        <v>#REF!</v>
      </c>
      <c r="O15" s="14" t="e">
        <f>+#REF!</f>
        <v>#REF!</v>
      </c>
    </row>
    <row r="16" spans="1:16">
      <c r="A16" s="12" t="e">
        <f>+#REF!</f>
        <v>#REF!</v>
      </c>
      <c r="B16" s="12" t="s">
        <v>63</v>
      </c>
      <c r="C16" s="14" t="e">
        <f>+#REF!+#REF!+#REF!+#REF!</f>
        <v>#REF!</v>
      </c>
      <c r="D16" s="14" t="e">
        <f>+#REF!+#REF!+#REF!+#REF!</f>
        <v>#REF!</v>
      </c>
      <c r="E16" s="14" t="e">
        <f>+#REF!+#REF!+#REF!+#REF!</f>
        <v>#REF!</v>
      </c>
      <c r="F16" s="14" t="e">
        <f>+#REF!+#REF!+#REF!+#REF!</f>
        <v>#REF!</v>
      </c>
      <c r="G16" s="14" t="e">
        <f>+#REF!+#REF!+#REF!+#REF!</f>
        <v>#REF!</v>
      </c>
      <c r="H16" s="14" t="e">
        <f>+#REF!+#REF!+#REF!+#REF!</f>
        <v>#REF!</v>
      </c>
      <c r="I16" s="14" t="e">
        <f>+#REF!+#REF!+#REF!+#REF!</f>
        <v>#REF!</v>
      </c>
      <c r="J16" s="14" t="e">
        <f>+#REF!+#REF!+#REF!+#REF!</f>
        <v>#REF!</v>
      </c>
      <c r="K16" s="14" t="e">
        <f>+#REF!+#REF!+#REF!+#REF!</f>
        <v>#REF!</v>
      </c>
      <c r="L16" s="14" t="e">
        <f>+#REF!+#REF!+#REF!+#REF!</f>
        <v>#REF!</v>
      </c>
      <c r="M16" s="14" t="e">
        <f>+#REF!+#REF!+#REF!+#REF!</f>
        <v>#REF!</v>
      </c>
      <c r="N16" s="14" t="e">
        <f>+#REF!+#REF!+#REF!+#REF!</f>
        <v>#REF!</v>
      </c>
      <c r="O16" s="14" t="e">
        <f>+#REF!+#REF!+#REF!+#REF!</f>
        <v>#REF!</v>
      </c>
    </row>
    <row r="17" spans="1:15">
      <c r="A17" s="12" t="e">
        <f>+#REF!</f>
        <v>#REF!</v>
      </c>
      <c r="B17" s="12" t="s">
        <v>64</v>
      </c>
      <c r="C17" s="14" t="e">
        <f>+#REF!+#REF!</f>
        <v>#REF!</v>
      </c>
      <c r="D17" s="14" t="e">
        <f>+#REF!+#REF!</f>
        <v>#REF!</v>
      </c>
      <c r="E17" s="14" t="e">
        <f>+#REF!+#REF!</f>
        <v>#REF!</v>
      </c>
      <c r="F17" s="14" t="e">
        <f>+#REF!+#REF!</f>
        <v>#REF!</v>
      </c>
      <c r="G17" s="14" t="e">
        <f>+#REF!+#REF!</f>
        <v>#REF!</v>
      </c>
      <c r="H17" s="14" t="e">
        <f>+#REF!+#REF!</f>
        <v>#REF!</v>
      </c>
      <c r="I17" s="14" t="e">
        <f>+#REF!+#REF!</f>
        <v>#REF!</v>
      </c>
      <c r="J17" s="14" t="e">
        <f>+#REF!+#REF!</f>
        <v>#REF!</v>
      </c>
      <c r="K17" s="14" t="e">
        <f>+#REF!+#REF!</f>
        <v>#REF!</v>
      </c>
      <c r="L17" s="14" t="e">
        <f>+#REF!+#REF!</f>
        <v>#REF!</v>
      </c>
      <c r="M17" s="14" t="e">
        <f>+#REF!+#REF!</f>
        <v>#REF!</v>
      </c>
      <c r="N17" s="14" t="e">
        <f>+#REF!+#REF!</f>
        <v>#REF!</v>
      </c>
      <c r="O17" s="14" t="e">
        <f>+#REF!+#REF!</f>
        <v>#REF!</v>
      </c>
    </row>
    <row r="18" spans="1:15">
      <c r="A18" s="12" t="e">
        <f>+#REF!</f>
        <v>#REF!</v>
      </c>
      <c r="B18" s="12" t="s">
        <v>65</v>
      </c>
      <c r="C18" s="14" t="e">
        <f>+#REF!</f>
        <v>#REF!</v>
      </c>
      <c r="D18" s="14" t="e">
        <f>+#REF!</f>
        <v>#REF!</v>
      </c>
      <c r="E18" s="14" t="e">
        <f>+#REF!</f>
        <v>#REF!</v>
      </c>
      <c r="F18" s="14" t="e">
        <f>+#REF!</f>
        <v>#REF!</v>
      </c>
      <c r="G18" s="14" t="e">
        <f>+#REF!</f>
        <v>#REF!</v>
      </c>
      <c r="H18" s="14" t="e">
        <f>+#REF!</f>
        <v>#REF!</v>
      </c>
      <c r="I18" s="14" t="e">
        <f>+#REF!</f>
        <v>#REF!</v>
      </c>
      <c r="J18" s="14" t="e">
        <f>+#REF!</f>
        <v>#REF!</v>
      </c>
      <c r="K18" s="14" t="e">
        <f>+#REF!</f>
        <v>#REF!</v>
      </c>
      <c r="L18" s="14" t="e">
        <f>+#REF!</f>
        <v>#REF!</v>
      </c>
      <c r="M18" s="14" t="e">
        <f>+#REF!</f>
        <v>#REF!</v>
      </c>
      <c r="N18" s="14" t="e">
        <f>+#REF!</f>
        <v>#REF!</v>
      </c>
      <c r="O18" s="14" t="e">
        <f>+#REF!</f>
        <v>#REF!</v>
      </c>
    </row>
    <row r="19" spans="1:15">
      <c r="A19" s="12" t="e">
        <f>+#REF!</f>
        <v>#REF!</v>
      </c>
      <c r="B19" s="12" t="s">
        <v>66</v>
      </c>
      <c r="C19" s="14" t="e">
        <f>+#REF!</f>
        <v>#REF!</v>
      </c>
      <c r="D19" s="14" t="e">
        <f>+#REF!</f>
        <v>#REF!</v>
      </c>
      <c r="E19" s="14" t="e">
        <f>+#REF!</f>
        <v>#REF!</v>
      </c>
      <c r="F19" s="14" t="e">
        <f>+#REF!</f>
        <v>#REF!</v>
      </c>
      <c r="G19" s="14" t="e">
        <f>+#REF!</f>
        <v>#REF!</v>
      </c>
      <c r="H19" s="14" t="e">
        <f>+#REF!</f>
        <v>#REF!</v>
      </c>
      <c r="I19" s="14" t="e">
        <f>+#REF!</f>
        <v>#REF!</v>
      </c>
      <c r="J19" s="14" t="e">
        <f>+#REF!</f>
        <v>#REF!</v>
      </c>
      <c r="K19" s="14" t="e">
        <f>+#REF!</f>
        <v>#REF!</v>
      </c>
      <c r="L19" s="14" t="e">
        <f>+#REF!</f>
        <v>#REF!</v>
      </c>
      <c r="M19" s="14" t="e">
        <f>+#REF!</f>
        <v>#REF!</v>
      </c>
      <c r="N19" s="14" t="e">
        <f>+#REF!</f>
        <v>#REF!</v>
      </c>
      <c r="O19" s="14" t="e">
        <f>+#REF!</f>
        <v>#REF!</v>
      </c>
    </row>
    <row r="20" spans="1:15">
      <c r="A20" s="12" t="e">
        <f>+#REF!</f>
        <v>#REF!</v>
      </c>
      <c r="B20" s="12" t="s">
        <v>67</v>
      </c>
      <c r="C20" s="14" t="e">
        <f>+#REF!+#REF!+#REF!</f>
        <v>#REF!</v>
      </c>
      <c r="D20" s="14" t="e">
        <f>+#REF!+#REF!+#REF!</f>
        <v>#REF!</v>
      </c>
      <c r="E20" s="14" t="e">
        <f>+#REF!+#REF!+#REF!</f>
        <v>#REF!</v>
      </c>
      <c r="F20" s="14" t="e">
        <f>+#REF!+#REF!+#REF!</f>
        <v>#REF!</v>
      </c>
      <c r="G20" s="14" t="e">
        <f>+#REF!+#REF!+#REF!</f>
        <v>#REF!</v>
      </c>
      <c r="H20" s="14" t="e">
        <f>+#REF!+#REF!+#REF!</f>
        <v>#REF!</v>
      </c>
      <c r="I20" s="14" t="e">
        <f>+#REF!+#REF!+#REF!</f>
        <v>#REF!</v>
      </c>
      <c r="J20" s="14" t="e">
        <f>+#REF!+#REF!+#REF!</f>
        <v>#REF!</v>
      </c>
      <c r="K20" s="14" t="e">
        <f>+#REF!+#REF!+#REF!</f>
        <v>#REF!</v>
      </c>
      <c r="L20" s="14" t="e">
        <f>+#REF!+#REF!+#REF!</f>
        <v>#REF!</v>
      </c>
      <c r="M20" s="14" t="e">
        <f>+#REF!+#REF!+#REF!</f>
        <v>#REF!</v>
      </c>
      <c r="N20" s="14" t="e">
        <f>+#REF!+#REF!+#REF!</f>
        <v>#REF!</v>
      </c>
      <c r="O20" s="14" t="e">
        <f>+#REF!+#REF!+#REF!</f>
        <v>#REF!</v>
      </c>
    </row>
    <row r="21" spans="1:15">
      <c r="A21" s="12" t="e">
        <f>+#REF!</f>
        <v>#REF!</v>
      </c>
      <c r="B21" s="12" t="s">
        <v>68</v>
      </c>
      <c r="C21" s="14" t="e">
        <f>+#REF!</f>
        <v>#REF!</v>
      </c>
      <c r="D21" s="14" t="e">
        <f>+#REF!</f>
        <v>#REF!</v>
      </c>
      <c r="E21" s="14" t="e">
        <f>+#REF!</f>
        <v>#REF!</v>
      </c>
      <c r="F21" s="14" t="e">
        <f>+#REF!</f>
        <v>#REF!</v>
      </c>
      <c r="G21" s="14" t="e">
        <f>+#REF!</f>
        <v>#REF!</v>
      </c>
      <c r="H21" s="14" t="e">
        <f>+#REF!</f>
        <v>#REF!</v>
      </c>
      <c r="I21" s="14" t="e">
        <f>+#REF!</f>
        <v>#REF!</v>
      </c>
      <c r="J21" s="14" t="e">
        <f>+#REF!</f>
        <v>#REF!</v>
      </c>
      <c r="K21" s="14" t="e">
        <f>+#REF!</f>
        <v>#REF!</v>
      </c>
      <c r="L21" s="14" t="e">
        <f>+#REF!</f>
        <v>#REF!</v>
      </c>
      <c r="M21" s="14" t="e">
        <f>+#REF!</f>
        <v>#REF!</v>
      </c>
      <c r="N21" s="14" t="e">
        <f>+#REF!</f>
        <v>#REF!</v>
      </c>
      <c r="O21" s="14" t="e">
        <f>+#REF!</f>
        <v>#REF!</v>
      </c>
    </row>
    <row r="22" spans="1:15">
      <c r="A22" s="12" t="e">
        <f>+#REF!</f>
        <v>#REF!</v>
      </c>
      <c r="B22" s="12" t="s">
        <v>69</v>
      </c>
      <c r="C22" s="14" t="e">
        <f>+#REF!</f>
        <v>#REF!</v>
      </c>
      <c r="D22" s="14" t="e">
        <f>+#REF!</f>
        <v>#REF!</v>
      </c>
      <c r="E22" s="14" t="e">
        <f>+#REF!</f>
        <v>#REF!</v>
      </c>
      <c r="F22" s="14" t="e">
        <f>+#REF!</f>
        <v>#REF!</v>
      </c>
      <c r="G22" s="14" t="e">
        <f>+#REF!</f>
        <v>#REF!</v>
      </c>
      <c r="H22" s="14" t="e">
        <f>+#REF!</f>
        <v>#REF!</v>
      </c>
      <c r="I22" s="14" t="e">
        <f>+#REF!</f>
        <v>#REF!</v>
      </c>
      <c r="J22" s="14" t="e">
        <f>+#REF!</f>
        <v>#REF!</v>
      </c>
      <c r="K22" s="14" t="e">
        <f>+#REF!</f>
        <v>#REF!</v>
      </c>
      <c r="L22" s="14" t="e">
        <f>+#REF!</f>
        <v>#REF!</v>
      </c>
      <c r="M22" s="14" t="e">
        <f>+#REF!</f>
        <v>#REF!</v>
      </c>
      <c r="N22" s="14" t="e">
        <f>+#REF!</f>
        <v>#REF!</v>
      </c>
      <c r="O22" s="14" t="e">
        <f>+#REF!</f>
        <v>#REF!</v>
      </c>
    </row>
    <row r="23" spans="1:15">
      <c r="A23" s="12" t="e">
        <f>+#REF!</f>
        <v>#REF!</v>
      </c>
      <c r="B23" s="12" t="s">
        <v>68</v>
      </c>
      <c r="C23" s="14" t="e">
        <f>+#REF!</f>
        <v>#REF!</v>
      </c>
      <c r="D23" s="14" t="e">
        <f>+#REF!</f>
        <v>#REF!</v>
      </c>
      <c r="E23" s="14" t="e">
        <f>+#REF!</f>
        <v>#REF!</v>
      </c>
      <c r="F23" s="14" t="e">
        <f>+#REF!</f>
        <v>#REF!</v>
      </c>
      <c r="G23" s="14" t="e">
        <f>+#REF!</f>
        <v>#REF!</v>
      </c>
      <c r="H23" s="14" t="e">
        <f>+#REF!</f>
        <v>#REF!</v>
      </c>
      <c r="I23" s="14" t="e">
        <f>+#REF!</f>
        <v>#REF!</v>
      </c>
      <c r="J23" s="14" t="e">
        <f>+#REF!</f>
        <v>#REF!</v>
      </c>
      <c r="K23" s="14" t="e">
        <f>+#REF!</f>
        <v>#REF!</v>
      </c>
      <c r="L23" s="14" t="e">
        <f>+#REF!</f>
        <v>#REF!</v>
      </c>
      <c r="M23" s="14" t="e">
        <f>+#REF!</f>
        <v>#REF!</v>
      </c>
      <c r="N23" s="14" t="e">
        <f>+#REF!</f>
        <v>#REF!</v>
      </c>
      <c r="O23" s="14" t="e">
        <f>+#REF!</f>
        <v>#REF!</v>
      </c>
    </row>
    <row r="24" spans="1:15">
      <c r="A24" s="12" t="e">
        <f>+#REF!</f>
        <v>#REF!</v>
      </c>
      <c r="B24" s="12" t="s">
        <v>70</v>
      </c>
      <c r="C24" s="14" t="e">
        <f>+#REF!+#REF!</f>
        <v>#REF!</v>
      </c>
      <c r="D24" s="14" t="e">
        <f>+#REF!+#REF!</f>
        <v>#REF!</v>
      </c>
      <c r="E24" s="14" t="e">
        <f>+#REF!+#REF!</f>
        <v>#REF!</v>
      </c>
      <c r="F24" s="14" t="e">
        <f>+#REF!+#REF!</f>
        <v>#REF!</v>
      </c>
      <c r="G24" s="14" t="e">
        <f>+#REF!+#REF!</f>
        <v>#REF!</v>
      </c>
      <c r="H24" s="14" t="e">
        <f>+#REF!+#REF!</f>
        <v>#REF!</v>
      </c>
      <c r="I24" s="14" t="e">
        <f>+#REF!+#REF!</f>
        <v>#REF!</v>
      </c>
      <c r="J24" s="14" t="e">
        <f>+#REF!+#REF!</f>
        <v>#REF!</v>
      </c>
      <c r="K24" s="14" t="e">
        <f>+#REF!+#REF!</f>
        <v>#REF!</v>
      </c>
      <c r="L24" s="14" t="e">
        <f>+#REF!+#REF!</f>
        <v>#REF!</v>
      </c>
      <c r="M24" s="14" t="e">
        <f>+#REF!+#REF!</f>
        <v>#REF!</v>
      </c>
      <c r="N24" s="14" t="e">
        <f>+#REF!+#REF!</f>
        <v>#REF!</v>
      </c>
      <c r="O24" s="14" t="e">
        <f>+#REF!+#REF!</f>
        <v>#REF!</v>
      </c>
    </row>
    <row r="25" spans="1:15">
      <c r="A25" s="12" t="e">
        <f>+#REF!</f>
        <v>#REF!</v>
      </c>
      <c r="B25" s="12" t="s">
        <v>71</v>
      </c>
      <c r="C25" s="14" t="e">
        <f>+#REF!+#REF!</f>
        <v>#REF!</v>
      </c>
      <c r="D25" s="14" t="e">
        <f>+#REF!+#REF!</f>
        <v>#REF!</v>
      </c>
      <c r="E25" s="14" t="e">
        <f>+#REF!+#REF!</f>
        <v>#REF!</v>
      </c>
      <c r="F25" s="14" t="e">
        <f>+#REF!+#REF!</f>
        <v>#REF!</v>
      </c>
      <c r="G25" s="14" t="e">
        <f>+#REF!+#REF!</f>
        <v>#REF!</v>
      </c>
      <c r="H25" s="14" t="e">
        <f>+#REF!+#REF!</f>
        <v>#REF!</v>
      </c>
      <c r="I25" s="14" t="e">
        <f>+#REF!+#REF!</f>
        <v>#REF!</v>
      </c>
      <c r="J25" s="14" t="e">
        <f>+#REF!+#REF!</f>
        <v>#REF!</v>
      </c>
      <c r="K25" s="14" t="e">
        <f>+#REF!+#REF!</f>
        <v>#REF!</v>
      </c>
      <c r="L25" s="14" t="e">
        <f>+#REF!+#REF!</f>
        <v>#REF!</v>
      </c>
      <c r="M25" s="14" t="e">
        <f>+#REF!+#REF!</f>
        <v>#REF!</v>
      </c>
      <c r="N25" s="14" t="e">
        <f>+#REF!+#REF!</f>
        <v>#REF!</v>
      </c>
      <c r="O25" s="14" t="e">
        <f>+#REF!+#REF!</f>
        <v>#REF!</v>
      </c>
    </row>
    <row r="26" spans="1:15">
      <c r="A26" s="12" t="e">
        <f>+#REF!</f>
        <v>#REF!</v>
      </c>
      <c r="B26" s="12" t="s">
        <v>72</v>
      </c>
      <c r="C26" s="14" t="e">
        <f>+#REF!</f>
        <v>#REF!</v>
      </c>
      <c r="D26" s="14" t="e">
        <f>+#REF!</f>
        <v>#REF!</v>
      </c>
      <c r="E26" s="14" t="e">
        <f>+#REF!</f>
        <v>#REF!</v>
      </c>
      <c r="F26" s="14" t="e">
        <f>+#REF!</f>
        <v>#REF!</v>
      </c>
      <c r="G26" s="14" t="e">
        <f>+#REF!</f>
        <v>#REF!</v>
      </c>
      <c r="H26" s="14" t="e">
        <f>+#REF!</f>
        <v>#REF!</v>
      </c>
      <c r="I26" s="14" t="e">
        <f>+#REF!</f>
        <v>#REF!</v>
      </c>
      <c r="J26" s="14" t="e">
        <f>+#REF!</f>
        <v>#REF!</v>
      </c>
      <c r="K26" s="14" t="e">
        <f>+#REF!</f>
        <v>#REF!</v>
      </c>
      <c r="L26" s="14" t="e">
        <f>+#REF!</f>
        <v>#REF!</v>
      </c>
      <c r="M26" s="14" t="e">
        <f>+#REF!</f>
        <v>#REF!</v>
      </c>
      <c r="N26" s="14" t="e">
        <f>+#REF!</f>
        <v>#REF!</v>
      </c>
      <c r="O26" s="14" t="e">
        <f>+#REF!</f>
        <v>#REF!</v>
      </c>
    </row>
    <row r="27" spans="1:15">
      <c r="A27" s="12" t="e">
        <f>+#REF!</f>
        <v>#REF!</v>
      </c>
      <c r="B27" s="12" t="s">
        <v>73</v>
      </c>
      <c r="C27" s="14" t="e">
        <f>+#REF!</f>
        <v>#REF!</v>
      </c>
      <c r="D27" s="14" t="e">
        <f>+#REF!</f>
        <v>#REF!</v>
      </c>
      <c r="E27" s="14" t="e">
        <f>+#REF!</f>
        <v>#REF!</v>
      </c>
      <c r="F27" s="14" t="e">
        <f>+#REF!</f>
        <v>#REF!</v>
      </c>
      <c r="G27" s="14" t="e">
        <f>+#REF!</f>
        <v>#REF!</v>
      </c>
      <c r="H27" s="14" t="e">
        <f>+#REF!</f>
        <v>#REF!</v>
      </c>
      <c r="I27" s="14" t="e">
        <f>+#REF!</f>
        <v>#REF!</v>
      </c>
      <c r="J27" s="14" t="e">
        <f>+#REF!</f>
        <v>#REF!</v>
      </c>
      <c r="K27" s="14" t="e">
        <f>+#REF!</f>
        <v>#REF!</v>
      </c>
      <c r="L27" s="14" t="e">
        <f>+#REF!</f>
        <v>#REF!</v>
      </c>
      <c r="M27" s="14" t="e">
        <f>+#REF!</f>
        <v>#REF!</v>
      </c>
      <c r="N27" s="14" t="e">
        <f>+#REF!</f>
        <v>#REF!</v>
      </c>
      <c r="O27" s="14" t="e">
        <f>+#REF!</f>
        <v>#REF!</v>
      </c>
    </row>
    <row r="28" spans="1:15">
      <c r="A28" s="12" t="e">
        <f>+#REF!</f>
        <v>#REF!</v>
      </c>
      <c r="B28" s="12" t="s">
        <v>74</v>
      </c>
      <c r="C28" s="14" t="e">
        <f>+#REF!</f>
        <v>#REF!</v>
      </c>
      <c r="D28" s="14" t="e">
        <f>+#REF!</f>
        <v>#REF!</v>
      </c>
      <c r="E28" s="14" t="e">
        <f>+#REF!</f>
        <v>#REF!</v>
      </c>
      <c r="F28" s="14" t="e">
        <f>+#REF!</f>
        <v>#REF!</v>
      </c>
      <c r="G28" s="14" t="e">
        <f>+#REF!</f>
        <v>#REF!</v>
      </c>
      <c r="H28" s="14" t="e">
        <f>+#REF!</f>
        <v>#REF!</v>
      </c>
      <c r="I28" s="14" t="e">
        <f>+#REF!</f>
        <v>#REF!</v>
      </c>
      <c r="J28" s="14" t="e">
        <f>+#REF!</f>
        <v>#REF!</v>
      </c>
      <c r="K28" s="14" t="e">
        <f>+#REF!</f>
        <v>#REF!</v>
      </c>
      <c r="L28" s="14" t="e">
        <f>+#REF!</f>
        <v>#REF!</v>
      </c>
      <c r="M28" s="14" t="e">
        <f>+#REF!</f>
        <v>#REF!</v>
      </c>
      <c r="N28" s="14" t="e">
        <f>+#REF!</f>
        <v>#REF!</v>
      </c>
      <c r="O28" s="14" t="e">
        <f>+#REF!</f>
        <v>#REF!</v>
      </c>
    </row>
    <row r="29" spans="1:15">
      <c r="A29" s="12" t="e">
        <f>+#REF!</f>
        <v>#REF!</v>
      </c>
      <c r="B29" s="12" t="s">
        <v>75</v>
      </c>
      <c r="C29" s="14" t="e">
        <f>+#REF!</f>
        <v>#REF!</v>
      </c>
      <c r="D29" s="14" t="e">
        <f>+#REF!</f>
        <v>#REF!</v>
      </c>
      <c r="E29" s="14" t="e">
        <f>+#REF!</f>
        <v>#REF!</v>
      </c>
      <c r="F29" s="14" t="e">
        <f>+#REF!</f>
        <v>#REF!</v>
      </c>
      <c r="G29" s="14" t="e">
        <f>+#REF!</f>
        <v>#REF!</v>
      </c>
      <c r="H29" s="14" t="e">
        <f>+#REF!</f>
        <v>#REF!</v>
      </c>
      <c r="I29" s="14" t="e">
        <f>+#REF!</f>
        <v>#REF!</v>
      </c>
      <c r="J29" s="14" t="e">
        <f>+#REF!</f>
        <v>#REF!</v>
      </c>
      <c r="K29" s="14" t="e">
        <f>+#REF!</f>
        <v>#REF!</v>
      </c>
      <c r="L29" s="14" t="e">
        <f>+#REF!</f>
        <v>#REF!</v>
      </c>
      <c r="M29" s="14" t="e">
        <f>+#REF!</f>
        <v>#REF!</v>
      </c>
      <c r="N29" s="14" t="e">
        <f>+#REF!</f>
        <v>#REF!</v>
      </c>
      <c r="O29" s="14" t="e">
        <f>+#REF!</f>
        <v>#REF!</v>
      </c>
    </row>
    <row r="30" spans="1:15">
      <c r="A30" s="12" t="e">
        <f>+#REF!</f>
        <v>#REF!</v>
      </c>
      <c r="B30" s="12" t="s">
        <v>76</v>
      </c>
      <c r="C30" s="14" t="e">
        <f>+#REF!</f>
        <v>#REF!</v>
      </c>
      <c r="D30" s="14" t="e">
        <f>+#REF!</f>
        <v>#REF!</v>
      </c>
      <c r="E30" s="14" t="e">
        <f>+#REF!</f>
        <v>#REF!</v>
      </c>
      <c r="F30" s="14" t="e">
        <f>+#REF!</f>
        <v>#REF!</v>
      </c>
      <c r="G30" s="14" t="e">
        <f>+#REF!</f>
        <v>#REF!</v>
      </c>
      <c r="H30" s="14" t="e">
        <f>+#REF!</f>
        <v>#REF!</v>
      </c>
      <c r="I30" s="14" t="e">
        <f>+#REF!</f>
        <v>#REF!</v>
      </c>
      <c r="J30" s="14" t="e">
        <f>+#REF!</f>
        <v>#REF!</v>
      </c>
      <c r="K30" s="14" t="e">
        <f>+#REF!</f>
        <v>#REF!</v>
      </c>
      <c r="L30" s="14" t="e">
        <f>+#REF!</f>
        <v>#REF!</v>
      </c>
      <c r="M30" s="14" t="e">
        <f>+#REF!</f>
        <v>#REF!</v>
      </c>
      <c r="N30" s="14" t="e">
        <f>+#REF!</f>
        <v>#REF!</v>
      </c>
      <c r="O30" s="14" t="e">
        <f>+#REF!</f>
        <v>#REF!</v>
      </c>
    </row>
    <row r="31" spans="1:15">
      <c r="A31" s="12" t="e">
        <f>+#REF!</f>
        <v>#REF!</v>
      </c>
      <c r="B31" s="12" t="s">
        <v>77</v>
      </c>
      <c r="C31" s="14" t="e">
        <f>+#REF!</f>
        <v>#REF!</v>
      </c>
      <c r="D31" s="14" t="e">
        <f>+#REF!</f>
        <v>#REF!</v>
      </c>
      <c r="E31" s="14" t="e">
        <f>+#REF!</f>
        <v>#REF!</v>
      </c>
      <c r="F31" s="14" t="e">
        <f>+#REF!</f>
        <v>#REF!</v>
      </c>
      <c r="G31" s="14" t="e">
        <f>+#REF!</f>
        <v>#REF!</v>
      </c>
      <c r="H31" s="14" t="e">
        <f>+#REF!</f>
        <v>#REF!</v>
      </c>
      <c r="I31" s="14" t="e">
        <f>+#REF!</f>
        <v>#REF!</v>
      </c>
      <c r="J31" s="14" t="e">
        <f>+#REF!</f>
        <v>#REF!</v>
      </c>
      <c r="K31" s="14" t="e">
        <f>+#REF!</f>
        <v>#REF!</v>
      </c>
      <c r="L31" s="14" t="e">
        <f>+#REF!</f>
        <v>#REF!</v>
      </c>
      <c r="M31" s="14" t="e">
        <f>+#REF!</f>
        <v>#REF!</v>
      </c>
      <c r="N31" s="14" t="e">
        <f>+#REF!</f>
        <v>#REF!</v>
      </c>
      <c r="O31" s="14" t="e">
        <f>+#REF!</f>
        <v>#REF!</v>
      </c>
    </row>
    <row r="32" spans="1:15">
      <c r="A32" s="12" t="e">
        <f>+#REF!</f>
        <v>#REF!</v>
      </c>
      <c r="B32" s="12" t="s">
        <v>78</v>
      </c>
      <c r="C32" s="14" t="e">
        <f>+#REF!</f>
        <v>#REF!</v>
      </c>
      <c r="D32" s="14" t="e">
        <f>+#REF!</f>
        <v>#REF!</v>
      </c>
      <c r="E32" s="14" t="e">
        <f>+#REF!</f>
        <v>#REF!</v>
      </c>
      <c r="F32" s="14" t="e">
        <f>+#REF!</f>
        <v>#REF!</v>
      </c>
      <c r="G32" s="14" t="e">
        <f>+#REF!</f>
        <v>#REF!</v>
      </c>
      <c r="H32" s="14" t="e">
        <f>+#REF!</f>
        <v>#REF!</v>
      </c>
      <c r="I32" s="14" t="e">
        <f>+#REF!</f>
        <v>#REF!</v>
      </c>
      <c r="J32" s="14" t="e">
        <f>+#REF!</f>
        <v>#REF!</v>
      </c>
      <c r="K32" s="14" t="e">
        <f>+#REF!</f>
        <v>#REF!</v>
      </c>
      <c r="L32" s="14" t="e">
        <f>+#REF!</f>
        <v>#REF!</v>
      </c>
      <c r="M32" s="14" t="e">
        <f>+#REF!</f>
        <v>#REF!</v>
      </c>
      <c r="N32" s="14" t="e">
        <f>+#REF!</f>
        <v>#REF!</v>
      </c>
      <c r="O32" s="14" t="e">
        <f>+#REF!</f>
        <v>#REF!</v>
      </c>
    </row>
    <row r="33" spans="1:16">
      <c r="A33" s="12" t="e">
        <f>+#REF!</f>
        <v>#REF!</v>
      </c>
      <c r="B33" s="12" t="s">
        <v>63</v>
      </c>
      <c r="C33" s="14" t="e">
        <f>+#REF!+#REF!</f>
        <v>#REF!</v>
      </c>
      <c r="D33" s="14" t="e">
        <f>+#REF!+#REF!</f>
        <v>#REF!</v>
      </c>
      <c r="E33" s="14" t="e">
        <f>+#REF!+#REF!</f>
        <v>#REF!</v>
      </c>
      <c r="F33" s="14" t="e">
        <f>+#REF!+#REF!</f>
        <v>#REF!</v>
      </c>
      <c r="G33" s="14" t="e">
        <f>+#REF!+#REF!</f>
        <v>#REF!</v>
      </c>
      <c r="H33" s="14" t="e">
        <f>+#REF!+#REF!</f>
        <v>#REF!</v>
      </c>
      <c r="I33" s="14" t="e">
        <f>+#REF!+#REF!</f>
        <v>#REF!</v>
      </c>
      <c r="J33" s="14" t="e">
        <f>+#REF!+#REF!</f>
        <v>#REF!</v>
      </c>
      <c r="K33" s="14" t="e">
        <f>+#REF!+#REF!</f>
        <v>#REF!</v>
      </c>
      <c r="L33" s="14" t="e">
        <f>+#REF!+#REF!</f>
        <v>#REF!</v>
      </c>
      <c r="M33" s="14" t="e">
        <f>+#REF!+#REF!</f>
        <v>#REF!</v>
      </c>
      <c r="N33" s="14" t="e">
        <f>+#REF!+#REF!</f>
        <v>#REF!</v>
      </c>
      <c r="O33" s="14" t="e">
        <f>+#REF!+#REF!</f>
        <v>#REF!</v>
      </c>
    </row>
    <row r="34" spans="1:16">
      <c r="A34" s="12" t="e">
        <f>+#REF!</f>
        <v>#REF!</v>
      </c>
      <c r="B34" s="12" t="s">
        <v>79</v>
      </c>
      <c r="C34" s="14" t="e">
        <f>+#REF!</f>
        <v>#REF!</v>
      </c>
      <c r="D34" s="14" t="e">
        <f>+#REF!</f>
        <v>#REF!</v>
      </c>
      <c r="E34" s="14" t="e">
        <f>+#REF!</f>
        <v>#REF!</v>
      </c>
      <c r="F34" s="14" t="e">
        <f>+#REF!</f>
        <v>#REF!</v>
      </c>
      <c r="G34" s="14" t="e">
        <f>+#REF!</f>
        <v>#REF!</v>
      </c>
      <c r="H34" s="14" t="e">
        <f>+#REF!</f>
        <v>#REF!</v>
      </c>
      <c r="I34" s="14" t="e">
        <f>+#REF!</f>
        <v>#REF!</v>
      </c>
      <c r="J34" s="14" t="e">
        <f>+#REF!</f>
        <v>#REF!</v>
      </c>
      <c r="K34" s="14" t="e">
        <f>+#REF!</f>
        <v>#REF!</v>
      </c>
      <c r="L34" s="14" t="e">
        <f>+#REF!</f>
        <v>#REF!</v>
      </c>
      <c r="M34" s="14" t="e">
        <f>+#REF!</f>
        <v>#REF!</v>
      </c>
      <c r="N34" s="14" t="e">
        <f>+#REF!</f>
        <v>#REF!</v>
      </c>
      <c r="O34" s="14" t="e">
        <f>+#REF!</f>
        <v>#REF!</v>
      </c>
    </row>
    <row r="35" spans="1:16">
      <c r="A35" s="12" t="e">
        <f>+#REF!</f>
        <v>#REF!</v>
      </c>
      <c r="B35" s="12" t="s">
        <v>80</v>
      </c>
      <c r="C35" s="14" t="e">
        <f>+#REF!</f>
        <v>#REF!</v>
      </c>
      <c r="D35" s="14" t="e">
        <f>+#REF!</f>
        <v>#REF!</v>
      </c>
      <c r="E35" s="14" t="e">
        <f>+#REF!</f>
        <v>#REF!</v>
      </c>
      <c r="F35" s="14" t="e">
        <f>+#REF!</f>
        <v>#REF!</v>
      </c>
      <c r="G35" s="14" t="e">
        <f>+#REF!</f>
        <v>#REF!</v>
      </c>
      <c r="H35" s="14" t="e">
        <f>+#REF!</f>
        <v>#REF!</v>
      </c>
      <c r="I35" s="14" t="e">
        <f>+#REF!</f>
        <v>#REF!</v>
      </c>
      <c r="J35" s="14" t="e">
        <f>+#REF!</f>
        <v>#REF!</v>
      </c>
      <c r="K35" s="14" t="e">
        <f>+#REF!</f>
        <v>#REF!</v>
      </c>
      <c r="L35" s="14" t="e">
        <f>+#REF!</f>
        <v>#REF!</v>
      </c>
      <c r="M35" s="14" t="e">
        <f>+#REF!</f>
        <v>#REF!</v>
      </c>
      <c r="N35" s="14" t="e">
        <f>+#REF!</f>
        <v>#REF!</v>
      </c>
      <c r="O35" s="14" t="e">
        <f>+#REF!</f>
        <v>#REF!</v>
      </c>
    </row>
    <row r="36" spans="1:16">
      <c r="A36" s="12" t="e">
        <f>+#REF!</f>
        <v>#REF!</v>
      </c>
      <c r="B36" s="12" t="s">
        <v>81</v>
      </c>
      <c r="C36" s="14" t="e">
        <f>+#REF!</f>
        <v>#REF!</v>
      </c>
      <c r="D36" s="14" t="e">
        <f>+#REF!</f>
        <v>#REF!</v>
      </c>
      <c r="E36" s="14" t="e">
        <f>+#REF!</f>
        <v>#REF!</v>
      </c>
      <c r="F36" s="14" t="e">
        <f>+#REF!</f>
        <v>#REF!</v>
      </c>
      <c r="G36" s="14" t="e">
        <f>+#REF!</f>
        <v>#REF!</v>
      </c>
      <c r="H36" s="14" t="e">
        <f>+#REF!</f>
        <v>#REF!</v>
      </c>
      <c r="I36" s="14" t="e">
        <f>+#REF!</f>
        <v>#REF!</v>
      </c>
      <c r="J36" s="14" t="e">
        <f>+#REF!</f>
        <v>#REF!</v>
      </c>
      <c r="K36" s="14" t="e">
        <f>+#REF!</f>
        <v>#REF!</v>
      </c>
      <c r="L36" s="14" t="e">
        <f>+#REF!</f>
        <v>#REF!</v>
      </c>
      <c r="M36" s="14" t="e">
        <f>+#REF!</f>
        <v>#REF!</v>
      </c>
      <c r="N36" s="14" t="e">
        <f>+#REF!</f>
        <v>#REF!</v>
      </c>
      <c r="O36" s="14" t="e">
        <f>+#REF!</f>
        <v>#REF!</v>
      </c>
    </row>
    <row r="37" spans="1:16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6">
      <c r="C38" s="16" t="e">
        <f>SUM(C7:C37)</f>
        <v>#REF!</v>
      </c>
      <c r="D38" s="16" t="e">
        <f t="shared" ref="D38:N38" si="0">SUM(D7:D37)</f>
        <v>#REF!</v>
      </c>
      <c r="E38" s="16" t="e">
        <f t="shared" si="0"/>
        <v>#REF!</v>
      </c>
      <c r="F38" s="16" t="e">
        <f t="shared" si="0"/>
        <v>#REF!</v>
      </c>
      <c r="G38" s="16" t="e">
        <f t="shared" si="0"/>
        <v>#REF!</v>
      </c>
      <c r="H38" s="16" t="e">
        <f t="shared" si="0"/>
        <v>#REF!</v>
      </c>
      <c r="I38" s="16" t="e">
        <f t="shared" si="0"/>
        <v>#REF!</v>
      </c>
      <c r="J38" s="16" t="e">
        <f t="shared" si="0"/>
        <v>#REF!</v>
      </c>
      <c r="K38" s="16" t="e">
        <f t="shared" si="0"/>
        <v>#REF!</v>
      </c>
      <c r="L38" s="16" t="e">
        <f t="shared" si="0"/>
        <v>#REF!</v>
      </c>
      <c r="M38" s="16" t="e">
        <f t="shared" si="0"/>
        <v>#REF!</v>
      </c>
      <c r="N38" s="16" t="e">
        <f t="shared" si="0"/>
        <v>#REF!</v>
      </c>
      <c r="O38" s="16" t="e">
        <f>SUM(C38:N38)</f>
        <v>#REF!</v>
      </c>
      <c r="P38" s="1" t="s">
        <v>87</v>
      </c>
    </row>
    <row r="39" spans="1:16">
      <c r="B39" s="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6" t="e">
        <f>+O38-#REF!</f>
        <v>#REF!</v>
      </c>
      <c r="P39" s="3" t="s">
        <v>88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Assumptions</vt:lpstr>
      <vt:lpstr>Forecast vs 00 budget</vt:lpstr>
      <vt:lpstr>Budget vs budget</vt:lpstr>
      <vt:lpstr>Forecast vs 01 budget</vt:lpstr>
      <vt:lpstr>Allocation</vt:lpstr>
      <vt:lpstr>2000 Budget</vt:lpstr>
      <vt:lpstr>2000 Forecast</vt:lpstr>
      <vt:lpstr>Research</vt:lpstr>
      <vt:lpstr>Upload</vt:lpstr>
      <vt:lpstr>'Forecast vs 01 budget'!Print_Area</vt:lpstr>
      <vt:lpstr>Research!Print_Area</vt:lpstr>
      <vt:lpstr>Research!Print_Titles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2000-09-28T23:33:59Z</cp:lastPrinted>
  <dcterms:created xsi:type="dcterms:W3CDTF">1998-07-08T19:32:38Z</dcterms:created>
  <dcterms:modified xsi:type="dcterms:W3CDTF">2023-09-10T11:43:09Z</dcterms:modified>
</cp:coreProperties>
</file>